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'Лист1'!$A$1:$F$327</definedName>
  </definedNames>
  <calcPr fullCalcOnLoad="1"/>
</workbook>
</file>

<file path=xl/sharedStrings.xml><?xml version="1.0" encoding="utf-8"?>
<sst xmlns="http://schemas.openxmlformats.org/spreadsheetml/2006/main" count="1329" uniqueCount="516">
  <si>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</si>
  <si>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</si>
  <si>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(Социальное обеспечение и иные выплаты населению)</t>
  </si>
  <si>
    <t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</si>
  <si>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</si>
  <si>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</si>
  <si>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</si>
  <si>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</si>
  <si>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</si>
  <si>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</si>
  <si>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</si>
  <si>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</si>
  <si>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</si>
  <si>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</si>
  <si>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</si>
  <si>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</si>
  <si>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</si>
  <si>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</si>
  <si>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</si>
  <si>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</si>
  <si>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</si>
  <si>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</si>
  <si>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</si>
  <si>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</si>
  <si>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</si>
  <si>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</si>
  <si>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</si>
  <si>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</si>
  <si>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</si>
  <si>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</si>
  <si>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</si>
  <si>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</si>
  <si>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</si>
  <si>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</si>
  <si>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</si>
  <si>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</si>
  <si>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</si>
  <si>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</si>
  <si>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</si>
  <si>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</si>
  <si>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</si>
  <si>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</si>
  <si>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</si>
  <si>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</si>
  <si>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</si>
  <si>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</si>
  <si>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</si>
  <si>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</si>
  <si>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</si>
  <si>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</si>
  <si>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</si>
  <si>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</si>
  <si>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</si>
  <si>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</si>
  <si>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</si>
  <si>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</si>
  <si>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</si>
  <si>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</si>
  <si>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</si>
  <si>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</si>
  <si>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</si>
  <si>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</si>
  <si>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</si>
  <si>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</si>
  <si>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</si>
  <si>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</si>
  <si>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</si>
  <si>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</si>
  <si>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</si>
  <si>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</si>
  <si>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</si>
  <si>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</si>
  <si>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Подъемные выплаты вновь трудоустроенным специалистам с высшим медицинским образованием (Социальное обеспечение и иные выплаты населению)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</si>
  <si>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</si>
  <si>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</si>
  <si>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</si>
  <si>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</si>
  <si>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49 0 00 00000</t>
  </si>
  <si>
    <t>49 0 55 00000</t>
  </si>
  <si>
    <t>49 0 55 79580</t>
  </si>
  <si>
    <t>48 0 00 00000</t>
  </si>
  <si>
    <t>99 0 04 22500</t>
  </si>
  <si>
    <t>Капитальные вложения в объекты государственной (муниципальной) собственности</t>
  </si>
  <si>
    <t>58 0 00 00000</t>
  </si>
  <si>
    <t>58 0 09 00000</t>
  </si>
  <si>
    <t>58 0 09 79514</t>
  </si>
  <si>
    <t>400</t>
  </si>
  <si>
    <t>Проведение мероприятий в рамках программы (Капитальные вложения в объекты недвижимого имущества государственной (муниципальной) собственности)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</si>
  <si>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</si>
  <si>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</si>
  <si>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</si>
  <si>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</si>
  <si>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</si>
  <si>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</si>
  <si>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</si>
  <si>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</si>
  <si>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</si>
  <si>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</si>
  <si>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43 0 20  71000</t>
  </si>
  <si>
    <t>Организация и проведение мероприятий в сфере физической культуры и спорта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</si>
  <si>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физической культуры и спорта  (Предоставление субсидий бюджетным, автономным учреждениям и иным некоммерческим организациям)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</si>
  <si>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</si>
  <si>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</si>
  <si>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43 0 20 S1000</t>
  </si>
  <si>
    <t>60 0 11 78008</t>
  </si>
  <si>
    <t>56 2 09 00000</t>
  </si>
  <si>
    <t>56 2 09 79519</t>
  </si>
  <si>
    <t>46 0 07 00000</t>
  </si>
  <si>
    <t>46 0 07 79525</t>
  </si>
  <si>
    <t>Комплексная схема организации дорожного движения (Закупка товаров, работ и услуг для государственных (муниципальных) нужд)</t>
  </si>
  <si>
    <t>Мероприятия по электроснабжению (Капитальные вложения в объекты недвижимого имущества государственной (муниципальной) собственности)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</si>
  <si>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</si>
  <si>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Ямочный ремонт дорог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</si>
  <si>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</si>
  <si>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</si>
  <si>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</si>
  <si>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</si>
  <si>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</si>
  <si>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</si>
  <si>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</si>
  <si>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</si>
  <si>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</si>
  <si>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</si>
  <si>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54 0 00 00000</t>
  </si>
  <si>
    <t>54 0 07 00000</t>
  </si>
  <si>
    <t>Создание благоприятных условий жизнедеятельности населения Чебаркульского городского округа (разработка проектов планировки) (Закупка товаров, работ и услуг для государственных (муниципальных) нужд)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</si>
  <si>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</si>
  <si>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Подпрограмма "Модернизация объектов коммунальной инфраструктуры"</t>
  </si>
  <si>
    <t>56 2 00 00000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</si>
  <si>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</si>
  <si>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</si>
  <si>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</si>
  <si>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</si>
  <si>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54 0 07 79551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</si>
  <si>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</si>
  <si>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</si>
  <si>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</si>
  <si>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</si>
  <si>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</si>
  <si>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</si>
  <si>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</si>
  <si>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</si>
  <si>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</si>
  <si>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</si>
  <si>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</si>
  <si>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</si>
  <si>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</si>
  <si>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</si>
  <si>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</si>
  <si>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</si>
  <si>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</si>
  <si>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56 2 07 79517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</si>
  <si>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</si>
  <si>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</si>
  <si>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</si>
  <si>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</si>
  <si>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Организация дополнительного образования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</si>
  <si>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</si>
  <si>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</si>
  <si>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</si>
  <si>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</si>
  <si>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Учреждения, осуществляющие функции строительного контроля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</si>
  <si>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</si>
  <si>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</si>
  <si>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</si>
  <si>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</si>
  <si>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</si>
  <si>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</si>
  <si>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</si>
  <si>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</si>
  <si>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</si>
  <si>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</si>
  <si>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</si>
  <si>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</si>
  <si>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Мероприятия по газификации (Закупка товаров, работ и услуг для государственных (муниципальных) нужд)</t>
  </si>
  <si>
    <t>56 2 07 79518</t>
  </si>
  <si>
    <t>56 2 07 00000</t>
  </si>
  <si>
    <t>42 0 00 00000</t>
  </si>
  <si>
    <t>42 0 07 00000</t>
  </si>
  <si>
    <t>39 0 00 00000</t>
  </si>
  <si>
    <t>39 0 07 00000</t>
  </si>
  <si>
    <t>39 0 07 79008</t>
  </si>
  <si>
    <t>40 0 00 00000</t>
  </si>
  <si>
    <t>40 0 04 00000</t>
  </si>
  <si>
    <t>40 0 04 25800</t>
  </si>
  <si>
    <t xml:space="preserve">04 </t>
  </si>
  <si>
    <t>40 0 04 20400</t>
  </si>
  <si>
    <t>41 1 06 00000</t>
  </si>
  <si>
    <t>50 0 20 00000</t>
  </si>
  <si>
    <t>50 0 20 79508</t>
  </si>
  <si>
    <t>54 0 07 79575</t>
  </si>
  <si>
    <t>Мероприятия по газификации (Капитальные вложения в объекты недвижимого имущества государственной (муниципальной) собственности)</t>
  </si>
  <si>
    <t>46 0 20 79523</t>
  </si>
  <si>
    <t>65 0 20 80002</t>
  </si>
  <si>
    <t>65 0 20 00000</t>
  </si>
  <si>
    <t>65 0 20 80001</t>
  </si>
  <si>
    <t>43 0 20 78700</t>
  </si>
  <si>
    <t>56 3 00 00000</t>
  </si>
  <si>
    <t>56 3 07 00000</t>
  </si>
  <si>
    <t>56 3 07 90030</t>
  </si>
  <si>
    <t>Приобретение основных средств для функционирования учреждений (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</si>
  <si>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 (Предоставление субсидий бюджетным, автономным учреждениям и иным некоммерческим организациям)</t>
  </si>
  <si>
    <t>Проведение мероприятий в рамках подготовки учреждений к новому учебному году (Предоставление субсидий бюджетным, автономным учреждениям и иным некоммерческим организациям)</t>
  </si>
  <si>
    <t>Мероприятия по разработке проекта планировки курорта Кисегач  (Закупка товаров, работ и услуг для государственных (муниципальных) нужд)</t>
  </si>
  <si>
    <t>Подпрограмма "мероприятия по переселению граждан из жилищного фонда, признанного непригодным для проживания"</t>
  </si>
  <si>
    <t>Снос жилых домов, признанных аварийными, и жилых домов с высоким (более 70 процентов) уровнем износа (Иные бюджетные ассигнования)</t>
  </si>
  <si>
    <t>46 0 20 79524</t>
  </si>
  <si>
    <t>Развитие инфраструктуры образовательных организаций (Предоставление субсидий бюджетным, автономным учреждениям и иным некоммерческим организациям)</t>
  </si>
  <si>
    <t>65 0 20 80003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</si>
  <si>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</si>
  <si>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</si>
  <si>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</si>
  <si>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</si>
  <si>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</si>
  <si>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</si>
  <si>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</si>
  <si>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</si>
  <si>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43 0 20 78300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</si>
  <si>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</si>
  <si>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</si>
  <si>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</si>
  <si>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</si>
  <si>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</si>
  <si>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</si>
  <si>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</si>
  <si>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</si>
  <si>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</si>
  <si>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</si>
  <si>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</si>
  <si>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</si>
  <si>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</si>
  <si>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</si>
  <si>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</si>
  <si>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</si>
  <si>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</si>
  <si>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</si>
  <si>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</si>
  <si>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</si>
  <si>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</si>
  <si>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</si>
  <si>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</si>
  <si>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</si>
  <si>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</si>
  <si>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</si>
  <si>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</si>
  <si>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</si>
  <si>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 xml:space="preserve">Муниципальная программа "Противодействие незаконному обороту и потреблению наркотических средств, психотропных веществ или их аналогов и незаконному приобретению, хранению, перевозки растений, содержащих наркотические средства или психотропные вещества, либо их частей, содержащих наркотические средства или психотропные вещества в Чебаркульском городском округе на 2017-2019гг." </t>
  </si>
  <si>
    <t>Муниципальная программа "Профилактика безнадзорности правонарушений несовершеннолетних Чебаркульского городского округа на 2017-2019гг."</t>
  </si>
  <si>
    <t>Муниципальная программа "Медицинские кадры на территории Чебаркульского городского округа на 2017-2019гг."</t>
  </si>
  <si>
    <t>Муниципальная программа "Развитие физической культуры и спорта в муниципальном образовании Чебаркульский городской округ на 2017 год и плановый период 2018 и 2019 годы"</t>
  </si>
  <si>
    <t>Муниципальная программа "Развитие туризма в муниципальном образовании Чебаркульский городской округ на 2017 год и плановый период 2018 и 2019 годы"</t>
  </si>
  <si>
    <t>Муниципальная программа "Профилактика правонарушений на территории Чебаркульского городского округа на 2017-2019 годы"</t>
  </si>
  <si>
    <t xml:space="preserve">Муниципальная программа "Развитие образования в Чебаркульском городском округе на 2017-2019 годы" </t>
  </si>
  <si>
    <t>Муниципальная программа "Поддержка и развитие дошкольного образования в Чебаркульском городском округе на 2017-2019 годы"</t>
  </si>
  <si>
    <t xml:space="preserve">Муниципальная программа "Молодежь Чебаркуля на 2017-2019 годы" </t>
  </si>
  <si>
    <t>Муниципальная программа "Предоставление государственных и муниципальных услуг на территории Чебаркульского городского округа на 2017-2019 годы"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</si>
  <si>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 на 2017-2019 годы"</t>
  </si>
  <si>
    <t>Муниципальная программа "Крепкая семья на 2017-2019 годы"</t>
  </si>
  <si>
    <t xml:space="preserve">Муниципальная программа "О социальной поддержке населения муниципального образования Чебаркульский городской округ на 2017-2019 годы" </t>
  </si>
  <si>
    <t>Муниципальная программа "Подготовка проектов планировки территорий Чебаркульского городского округа на 2017-2019 годы"</t>
  </si>
  <si>
    <t>Муниципальная программа "Эффективное управление муниципальной собственностью Чебаркульского городского округа на 2017-2019 годы"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</si>
  <si>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 на 2017-2019 годы"</t>
  </si>
  <si>
    <t>Муниципальная программа "Благоустройство территории Чебаркульского городского округа на 2017-2019 годы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</si>
  <si>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на 2017 - 2019 годы"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</si>
  <si>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2017 - 2019 годы"</t>
  </si>
  <si>
    <t>Муниципальная программа "Развитие культуры в муниципальном образовании Чебаркульский городской округ на 2017 год и на период 2018 и 2019 годы"</t>
  </si>
  <si>
    <t>Муниципальная программа "Управление муниципальными финансами и муниципальным долгом Чебаркульского городского округа на 2017 год и на период 2018 и 2019 годы"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</si>
  <si>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</si>
  <si>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</si>
  <si>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</si>
  <si>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</si>
  <si>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</si>
  <si>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</si>
  <si>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</si>
  <si>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</si>
  <si>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</si>
  <si>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52 0 16 22300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</si>
  <si>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</si>
  <si>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</si>
  <si>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</si>
  <si>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</si>
  <si>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</si>
  <si>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</si>
  <si>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</si>
  <si>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</si>
  <si>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</si>
  <si>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</si>
  <si>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</si>
  <si>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</si>
  <si>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</si>
  <si>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</si>
  <si>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53 0 16 22400</t>
  </si>
  <si>
    <t>53 0 16 22500</t>
  </si>
  <si>
    <t>53 0 16 22700</t>
  </si>
  <si>
    <t>53 0 16 49000</t>
  </si>
  <si>
    <t>53 0 16 51370</t>
  </si>
  <si>
    <t>53 0 16 52200</t>
  </si>
  <si>
    <t>53 0 16 52500</t>
  </si>
  <si>
    <t>53 0 16 53800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</si>
  <si>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</si>
  <si>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</si>
  <si>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</si>
  <si>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</si>
  <si>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</si>
  <si>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</si>
  <si>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</si>
  <si>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</si>
  <si>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</si>
  <si>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</si>
  <si>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</si>
  <si>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</si>
  <si>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</si>
  <si>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</si>
  <si>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</si>
  <si>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</si>
  <si>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</si>
  <si>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</si>
  <si>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</si>
  <si>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</si>
  <si>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</si>
  <si>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55 0 04 79055</t>
  </si>
  <si>
    <t>55 0 89 00000</t>
  </si>
  <si>
    <t>55 0 89 20400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</si>
  <si>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</si>
  <si>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</si>
  <si>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</si>
  <si>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</si>
  <si>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</si>
  <si>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</si>
  <si>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</si>
  <si>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</si>
  <si>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</si>
  <si>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</si>
  <si>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</si>
  <si>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59 0 07 00000</t>
  </si>
  <si>
    <t>59 0 07 79517</t>
  </si>
  <si>
    <t>Капитальный ремонт, ремонт и содержание автомобильных дорог</t>
  </si>
  <si>
    <t>60 0 11 00000</t>
  </si>
  <si>
    <t>60 0 11 78001</t>
  </si>
  <si>
    <t>60 0 11 78002</t>
  </si>
  <si>
    <t>60 0 11 78003</t>
  </si>
  <si>
    <t>60 0 11 78004</t>
  </si>
  <si>
    <t>60 0 11 78005</t>
  </si>
  <si>
    <t>60 0 11 78006</t>
  </si>
  <si>
    <t>63 0 07 00000</t>
  </si>
  <si>
    <t>63 0 07 91000</t>
  </si>
  <si>
    <t>63 0 07 77001</t>
  </si>
  <si>
    <t>63 0 07 77002</t>
  </si>
  <si>
    <t>63 0 07 77003</t>
  </si>
  <si>
    <t>63 0 07 77004</t>
  </si>
  <si>
    <t>63 0 07 77005</t>
  </si>
  <si>
    <t>63 0 04 00000</t>
  </si>
  <si>
    <t>63 0 04 20400</t>
  </si>
  <si>
    <t>63 0 10 00000</t>
  </si>
  <si>
    <t>63 0 10 28200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</si>
  <si>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</si>
  <si>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</si>
  <si>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</si>
  <si>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</si>
  <si>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</si>
  <si>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</si>
  <si>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</si>
  <si>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</si>
  <si>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</si>
  <si>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</si>
  <si>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</si>
  <si>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</si>
  <si>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</si>
  <si>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</si>
  <si>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</si>
  <si>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</si>
  <si>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</si>
  <si>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</si>
  <si>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</si>
  <si>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</si>
  <si>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</si>
  <si>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</si>
  <si>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</si>
  <si>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</si>
  <si>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</si>
  <si>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</si>
  <si>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</si>
  <si>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</si>
  <si>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</si>
  <si>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</si>
  <si>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</si>
  <si>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</si>
  <si>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</si>
  <si>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60 0 11 78007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</si>
  <si>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</si>
  <si>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</si>
  <si>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</si>
  <si>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</si>
  <si>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</si>
  <si>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</si>
  <si>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Содержание, развитие и поддержка спортивных секций в физкультурно-спортивных организациях, а также секций, отделений и групп для детей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</si>
  <si>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</si>
  <si>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Ремонт и содержание плоскостных спортивных сооружений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</si>
  <si>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</si>
  <si>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43 0 10 42300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</si>
  <si>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</si>
  <si>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</si>
  <si>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Чебаркульского городского округа и непрограммным направлениям деятельности), группам видов расходов, разделам и подразделам классификации расходов бюджетов на 2017 год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</si>
  <si>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</si>
  <si>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</si>
  <si>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</si>
  <si>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</si>
  <si>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</si>
  <si>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</si>
  <si>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</si>
  <si>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</si>
  <si>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</si>
  <si>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</si>
  <si>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</si>
  <si>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</si>
  <si>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</si>
  <si>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 xml:space="preserve">Муниципальная программа "Развитие малого и среднего предпринимательства в монопрофильном муниципальном образовании Чебаркульский городской округ Челябинской области на 2017-2019 годы" </t>
  </si>
  <si>
    <t>Финансовая поддержка малого и среднего предпринимательства (Иные бюджетные ассигнования)</t>
  </si>
  <si>
    <t>Муниципальная программа "Чистая вода в МО "Чебаркульский городской округ" на 2010 - 2020 годы"</t>
  </si>
  <si>
    <t>Проведение противоаварийных работ  (Предоставление субсидий бюджетным, автономным учреждениям и иным некоммерческим организациям)</t>
  </si>
  <si>
    <t>46 0 20 79521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</si>
  <si>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 (Предоставление субсидий бюджетным, автономным учреждениям и иным некоммерческим организациям)</t>
  </si>
  <si>
    <t>46 0 20 L0275</t>
  </si>
  <si>
    <t>Создание дополнительных мест для детей дошкольного возраста (Предоставление субсидий бюджетным, автономным учреждениям и иным некоммерческим организациям)</t>
  </si>
  <si>
    <t>47 0 20 S1100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</si>
  <si>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  (Предоставление субсидий бюджетным, автономным учреждениям и иным некоммерческим организациям)</t>
  </si>
  <si>
    <t>47 0 20 S2200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</si>
  <si>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</si>
  <si>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47 0 20 S9900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</si>
  <si>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</si>
  <si>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</si>
  <si>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</si>
  <si>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</si>
  <si>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</si>
  <si>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</si>
  <si>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</si>
  <si>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Разметка у образовательных учреждений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</si>
  <si>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</si>
  <si>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</si>
  <si>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</si>
  <si>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Организация озеленения (Закупка товаров, работ и услуг для государственных (муниципальных) нужд)</t>
  </si>
  <si>
    <t>Подпрограмма "Организация содержания мест захоронения"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</si>
  <si>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</si>
  <si>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</si>
  <si>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</si>
  <si>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</si>
  <si>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</si>
  <si>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</si>
  <si>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</si>
  <si>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</si>
  <si>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</si>
  <si>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</si>
  <si>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</si>
  <si>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</si>
  <si>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</si>
  <si>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</si>
  <si>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</si>
  <si>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</si>
  <si>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</si>
  <si>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</si>
  <si>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</si>
  <si>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</si>
  <si>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</si>
  <si>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Исполнение исполнительных листов (Иные бюджетные ассигнования)</t>
  </si>
  <si>
    <t>2017 год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</si>
  <si>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</si>
  <si>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56 1 15 S0200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</si>
  <si>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</si>
  <si>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</si>
  <si>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</si>
  <si>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</si>
  <si>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</si>
  <si>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</si>
  <si>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</si>
  <si>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</si>
  <si>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</si>
  <si>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47 0 20 00000</t>
  </si>
  <si>
    <t>47 0 20 01100</t>
  </si>
  <si>
    <t>47 0 20 09900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</si>
  <si>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</si>
  <si>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</si>
  <si>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</si>
  <si>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</si>
  <si>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</si>
  <si>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</si>
  <si>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  (Социальное обеспечение и иные выплаты населению)</t>
  </si>
  <si>
    <t>56 1 15 R0200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</si>
  <si>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</si>
  <si>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56 2 07 00050</t>
  </si>
  <si>
    <t>Субсидии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</si>
  <si>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56 2 07 79515</t>
  </si>
  <si>
    <t>Мероприятия по водоснабжению и водоотведению  (Закупка товаров, работ и услуг для государственных (муниципальных) нужд)</t>
  </si>
  <si>
    <t>56 2 07 S0050</t>
  </si>
  <si>
    <t>Софинансирование расходов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ПИР 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</si>
  <si>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</si>
  <si>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60 0 11 78009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</si>
  <si>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</si>
  <si>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Ремонт дорог  (Закупка товаров, работ и услуг для государственных (муниципальных) нужд)</t>
  </si>
  <si>
    <t>Мероприятия в рамках программы по оздоровлению экологической обстановки (Предоставление субсидий бюджетным, автономным учреждениям и иным некоммерческим организациям)</t>
  </si>
  <si>
    <t>67 0 00 00000</t>
  </si>
  <si>
    <t>67 0 07 00000</t>
  </si>
  <si>
    <t>67 0 07 R5550</t>
  </si>
  <si>
    <t>Муниципальная программа "Формирование современной городской среды Чебаркульского городского округа" на 2017 год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</si>
  <si>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</si>
  <si>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>Реализация муниципальных программ развития малого и среднего предпринимательства  (Иные бюджетные ассигнования)</t>
  </si>
  <si>
    <t>49 0 55 R5272</t>
  </si>
  <si>
    <t>56 2 09 79518</t>
  </si>
  <si>
    <t>56 2 09 00040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</si>
  <si>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</si>
  <si>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56 3 09 00000</t>
  </si>
  <si>
    <t>56 3 09 09896</t>
  </si>
  <si>
    <t>Обеспечение мероприятий по переселению граждан из аварийного жилищного фонда и модернизации систем коммунальной инфраструктуры за счет средств бюджетов (Капитальные вложения в объекты недвижимого имущества государственной (муниципальной) собственности)</t>
  </si>
  <si>
    <t>56 2 09 79515</t>
  </si>
  <si>
    <t>Мероприятия по водоснабжению и водоотведению  (Капитальные вложения в объекты недвижимого имущества государственной (муниципальной) собственности)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</si>
  <si>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</si>
  <si>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 xml:space="preserve">Приложение 1
к решению Собрания депутатов 
Чебаркульского городского округа 
от 07.11.2017 г. № 407
Приложение 4
к решению Собрания депутатов 
Чебаркульского городского округа 
от 22.12.2016 г. № 244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</si>
</sst>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textRotation="90" wrapText="1" readingOrder="2"/>
    </xf>
    <xf numFmtId="49" fontId="0" fillId="33" borderId="11" xfId="0" applyNumberFormat="1" applyFont="1" applyFill="1" applyBorder="1" applyAlignment="1">
      <alignment horizontal="left" vertical="center" textRotation="90" wrapText="1" readingOrder="2"/>
    </xf>
    <xf numFmtId="49" fontId="0" fillId="33" borderId="11" xfId="0" applyNumberFormat="1" applyFont="1" applyFill="1" applyBorder="1" applyAlignment="1">
      <alignment horizontal="center" textRotation="90" readingOrder="2"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0" fontId="11" fillId="33" borderId="12" xfId="52" applyNumberFormat="1" applyFont="1" applyFill="1" applyBorder="1" applyAlignment="1">
      <alignment horizontal="left" vertical="center" wrapText="1"/>
      <protection/>
    </xf>
    <xf numFmtId="49" fontId="3" fillId="33" borderId="13" xfId="0" applyNumberFormat="1" applyFont="1" applyFill="1" applyBorder="1" applyAlignment="1">
      <alignment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49" fontId="11" fillId="33" borderId="12" xfId="52" applyNumberFormat="1" applyFont="1" applyFill="1" applyBorder="1" applyAlignment="1">
      <alignment horizontal="left" vertical="center" wrapText="1"/>
      <protection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wrapText="1"/>
    </xf>
    <xf numFmtId="49" fontId="3" fillId="33" borderId="12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13" fillId="33" borderId="12" xfId="0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12" fillId="33" borderId="0" xfId="0" applyNumberFormat="1" applyFont="1" applyFill="1" applyBorder="1" applyAlignment="1">
      <alignment vertical="center"/>
    </xf>
    <xf numFmtId="4" fontId="17" fillId="33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/>
    </xf>
    <xf numFmtId="4" fontId="14" fillId="33" borderId="13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center" textRotation="90" readingOrder="2"/>
    </xf>
    <xf numFmtId="0" fontId="0" fillId="33" borderId="0" xfId="0" applyFill="1" applyBorder="1" applyAlignment="1">
      <alignment horizontal="right"/>
    </xf>
    <xf numFmtId="0" fontId="15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145</xdr:row>
      <xdr:rowOff>0</xdr:rowOff>
    </xdr:from>
    <xdr:to>
      <xdr:col>0</xdr:col>
      <xdr:colOff>219075</xdr:colOff>
      <xdr:row>145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35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219075</xdr:colOff>
      <xdr:row>145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35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219075</xdr:colOff>
      <xdr:row>148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263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219075</xdr:colOff>
      <xdr:row>149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263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7"/>
  <sheetViews>
    <sheetView tabSelected="1" zoomScale="110" zoomScaleNormal="110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66.00390625" style="2" customWidth="1"/>
    <col min="2" max="2" width="10.75390625" style="2" customWidth="1"/>
    <col min="3" max="3" width="5.25390625" style="2" customWidth="1"/>
    <col min="4" max="4" width="4.625" style="2" customWidth="1"/>
    <col min="5" max="5" width="5.125" style="2" customWidth="1"/>
    <col min="6" max="6" width="14.00390625" style="2" customWidth="1"/>
    <col min="7" max="7" width="13.75390625" style="0" bestFit="1" customWidth="1"/>
    <col min="8" max="8" width="8.875" style="0" customWidth="1"/>
    <col min="9" max="9" width="14.125" style="0" customWidth="1"/>
    <col min="10" max="10" width="17.25390625" style="0" customWidth="1"/>
    <col min="11" max="12" width="8.875" style="0" customWidth="1"/>
    <col min="13" max="13" width="12.00390625" style="0" customWidth="1"/>
    <col min="14" max="14" width="13.375" style="0" customWidth="1"/>
    <col min="16" max="16" width="11.25390625" style="0" customWidth="1"/>
  </cols>
  <sheetData>
    <row r="1" spans="2:6" ht="106.5" customHeight="1">
      <c r="B1" s="45" t="s">
        <v>515</v>
      </c>
      <c r="C1" s="45"/>
      <c r="D1" s="45"/>
      <c r="E1" s="45"/>
      <c r="F1" s="45"/>
    </row>
    <row r="2" spans="1:6" ht="57.75" customHeight="1">
      <c r="A2" s="44" t="s">
        <v>402</v>
      </c>
      <c r="B2" s="44"/>
      <c r="C2" s="44"/>
      <c r="D2" s="44"/>
      <c r="E2" s="44"/>
      <c r="F2" s="44"/>
    </row>
    <row r="3" spans="1:6" ht="15" customHeight="1" thickBot="1">
      <c r="A3" s="43" t="s">
        <v>45</v>
      </c>
      <c r="B3" s="43"/>
      <c r="C3" s="43"/>
      <c r="D3" s="43"/>
      <c r="E3" s="43"/>
      <c r="F3" s="43"/>
    </row>
    <row r="4" spans="1:6" ht="78" customHeight="1">
      <c r="A4" s="7" t="s">
        <v>27</v>
      </c>
      <c r="B4" s="8" t="s">
        <v>30</v>
      </c>
      <c r="C4" s="10" t="s">
        <v>28</v>
      </c>
      <c r="D4" s="42" t="s">
        <v>29</v>
      </c>
      <c r="E4" s="9" t="s">
        <v>54</v>
      </c>
      <c r="F4" s="36" t="s">
        <v>464</v>
      </c>
    </row>
    <row r="5" spans="1:6" s="1" customFormat="1" ht="12.75">
      <c r="A5" s="11" t="s">
        <v>31</v>
      </c>
      <c r="B5" s="12"/>
      <c r="C5" s="12"/>
      <c r="D5" s="12"/>
      <c r="E5" s="12"/>
      <c r="F5" s="37">
        <f>SUM(F6+F9+F14+F17+F20+F42+F45+F81+F93+F97+F101+F106+F113+F128+F172+F176+F183+F206+F218+F224+F235+F239+F259+F288+F298+F221+F295)</f>
        <v>1017403421.8899999</v>
      </c>
    </row>
    <row r="6" spans="1:6" s="2" customFormat="1" ht="63.75" customHeight="1">
      <c r="A6" s="13" t="s">
        <v>246</v>
      </c>
      <c r="B6" s="41" t="s">
        <v>179</v>
      </c>
      <c r="C6" s="14"/>
      <c r="D6" s="14"/>
      <c r="E6" s="14"/>
      <c r="F6" s="40">
        <f>F7</f>
        <v>150000</v>
      </c>
    </row>
    <row r="7" spans="1:6" s="5" customFormat="1" ht="13.5">
      <c r="A7" s="15" t="s">
        <v>24</v>
      </c>
      <c r="B7" s="14" t="s">
        <v>180</v>
      </c>
      <c r="C7" s="14"/>
      <c r="D7" s="14"/>
      <c r="E7" s="14"/>
      <c r="F7" s="35">
        <f>SUM(F8)</f>
        <v>150000</v>
      </c>
    </row>
    <row r="8" spans="1:6" s="2" customFormat="1" ht="25.5" customHeight="1">
      <c r="A8" s="15" t="s">
        <v>391</v>
      </c>
      <c r="B8" s="14" t="s">
        <v>181</v>
      </c>
      <c r="C8" s="14" t="s">
        <v>33</v>
      </c>
      <c r="D8" s="14" t="s">
        <v>122</v>
      </c>
      <c r="E8" s="14" t="s">
        <v>49</v>
      </c>
      <c r="F8" s="35">
        <v>150000</v>
      </c>
    </row>
    <row r="9" spans="1:6" s="2" customFormat="1" ht="25.5">
      <c r="A9" s="16" t="s">
        <v>247</v>
      </c>
      <c r="B9" s="41" t="s">
        <v>182</v>
      </c>
      <c r="C9" s="14"/>
      <c r="D9" s="14"/>
      <c r="E9" s="14"/>
      <c r="F9" s="40">
        <f>F10</f>
        <v>477025</v>
      </c>
    </row>
    <row r="10" spans="1:7" s="2" customFormat="1" ht="13.5">
      <c r="A10" s="15" t="s">
        <v>60</v>
      </c>
      <c r="B10" s="14" t="s">
        <v>183</v>
      </c>
      <c r="C10" s="14"/>
      <c r="D10" s="14"/>
      <c r="E10" s="14"/>
      <c r="F10" s="35">
        <f>SUM(F11:F13)</f>
        <v>477025</v>
      </c>
      <c r="G10" s="4"/>
    </row>
    <row r="11" spans="1:7" s="2" customFormat="1" ht="51">
      <c r="A11" s="17" t="s">
        <v>65</v>
      </c>
      <c r="B11" s="14" t="s">
        <v>186</v>
      </c>
      <c r="C11" s="14" t="s">
        <v>32</v>
      </c>
      <c r="D11" s="14" t="s">
        <v>35</v>
      </c>
      <c r="E11" s="14" t="s">
        <v>48</v>
      </c>
      <c r="F11" s="35">
        <f>16825+21900</f>
        <v>38725</v>
      </c>
      <c r="G11" s="4"/>
    </row>
    <row r="12" spans="1:6" s="2" customFormat="1" ht="38.25" customHeight="1">
      <c r="A12" s="17" t="s">
        <v>392</v>
      </c>
      <c r="B12" s="14" t="s">
        <v>184</v>
      </c>
      <c r="C12" s="14" t="s">
        <v>32</v>
      </c>
      <c r="D12" s="14" t="s">
        <v>185</v>
      </c>
      <c r="E12" s="14" t="s">
        <v>48</v>
      </c>
      <c r="F12" s="35">
        <f>315131+95169</f>
        <v>410300</v>
      </c>
    </row>
    <row r="13" spans="1:7" s="2" customFormat="1" ht="25.5" customHeight="1">
      <c r="A13" s="15" t="s">
        <v>393</v>
      </c>
      <c r="B13" s="14" t="s">
        <v>184</v>
      </c>
      <c r="C13" s="14" t="s">
        <v>32</v>
      </c>
      <c r="D13" s="14" t="s">
        <v>185</v>
      </c>
      <c r="E13" s="14" t="s">
        <v>49</v>
      </c>
      <c r="F13" s="35">
        <f>7540.37+20459.63</f>
        <v>28000</v>
      </c>
      <c r="G13" s="4"/>
    </row>
    <row r="14" spans="1:6" s="2" customFormat="1" ht="25.5">
      <c r="A14" s="16" t="s">
        <v>248</v>
      </c>
      <c r="B14" s="14" t="s">
        <v>143</v>
      </c>
      <c r="C14" s="14"/>
      <c r="D14" s="14"/>
      <c r="E14" s="14"/>
      <c r="F14" s="40">
        <f>SUM(F15)</f>
        <v>300000</v>
      </c>
    </row>
    <row r="15" spans="1:6" s="2" customFormat="1" ht="38.25" customHeight="1">
      <c r="A15" s="18" t="s">
        <v>153</v>
      </c>
      <c r="B15" s="14" t="s">
        <v>187</v>
      </c>
      <c r="C15" s="14"/>
      <c r="D15" s="14"/>
      <c r="E15" s="14"/>
      <c r="F15" s="35">
        <f>SUM(F16)</f>
        <v>300000</v>
      </c>
    </row>
    <row r="16" spans="1:6" s="2" customFormat="1" ht="27.75" customHeight="1">
      <c r="A16" s="18" t="s">
        <v>72</v>
      </c>
      <c r="B16" s="14" t="s">
        <v>209</v>
      </c>
      <c r="C16" s="14" t="s">
        <v>37</v>
      </c>
      <c r="D16" s="14" t="s">
        <v>37</v>
      </c>
      <c r="E16" s="14" t="s">
        <v>52</v>
      </c>
      <c r="F16" s="35">
        <v>300000</v>
      </c>
    </row>
    <row r="17" spans="1:6" s="2" customFormat="1" ht="25.5" customHeight="1">
      <c r="A17" s="19" t="s">
        <v>250</v>
      </c>
      <c r="B17" s="41" t="s">
        <v>177</v>
      </c>
      <c r="C17" s="14"/>
      <c r="D17" s="14"/>
      <c r="E17" s="14"/>
      <c r="F17" s="40">
        <f>F18</f>
        <v>50000</v>
      </c>
    </row>
    <row r="18" spans="1:6" s="2" customFormat="1" ht="13.5">
      <c r="A18" s="20" t="s">
        <v>24</v>
      </c>
      <c r="B18" s="14" t="s">
        <v>178</v>
      </c>
      <c r="C18" s="14"/>
      <c r="D18" s="14"/>
      <c r="E18" s="14"/>
      <c r="F18" s="35">
        <f>SUM(F19)</f>
        <v>50000</v>
      </c>
    </row>
    <row r="19" spans="1:6" s="2" customFormat="1" ht="28.5" customHeight="1">
      <c r="A19" s="15" t="s">
        <v>394</v>
      </c>
      <c r="B19" s="14" t="s">
        <v>210</v>
      </c>
      <c r="C19" s="14" t="s">
        <v>38</v>
      </c>
      <c r="D19" s="14" t="s">
        <v>32</v>
      </c>
      <c r="E19" s="14" t="s">
        <v>49</v>
      </c>
      <c r="F19" s="35">
        <v>50000</v>
      </c>
    </row>
    <row r="20" spans="1:6" s="2" customFormat="1" ht="34.5" customHeight="1">
      <c r="A20" s="16" t="s">
        <v>249</v>
      </c>
      <c r="B20" s="41" t="s">
        <v>131</v>
      </c>
      <c r="C20" s="14"/>
      <c r="D20" s="14"/>
      <c r="E20" s="14"/>
      <c r="F20" s="40">
        <f>SUM(F21+F24+F28+F31+F38)</f>
        <v>51182439.18</v>
      </c>
    </row>
    <row r="21" spans="1:6" s="2" customFormat="1" ht="14.25" customHeight="1">
      <c r="A21" s="15" t="s">
        <v>60</v>
      </c>
      <c r="B21" s="14" t="s">
        <v>219</v>
      </c>
      <c r="C21" s="14"/>
      <c r="D21" s="14"/>
      <c r="E21" s="14"/>
      <c r="F21" s="35">
        <f>SUM(F22:F23)</f>
        <v>1096992.18</v>
      </c>
    </row>
    <row r="22" spans="1:6" s="3" customFormat="1" ht="50.25" customHeight="1">
      <c r="A22" s="17" t="s">
        <v>65</v>
      </c>
      <c r="B22" s="14" t="s">
        <v>220</v>
      </c>
      <c r="C22" s="14" t="s">
        <v>43</v>
      </c>
      <c r="D22" s="14" t="s">
        <v>40</v>
      </c>
      <c r="E22" s="14" t="s">
        <v>48</v>
      </c>
      <c r="F22" s="35">
        <f>833325.75+251666.43</f>
        <v>1084992.18</v>
      </c>
    </row>
    <row r="23" spans="1:6" s="2" customFormat="1" ht="39" customHeight="1">
      <c r="A23" s="15" t="s">
        <v>66</v>
      </c>
      <c r="B23" s="14" t="s">
        <v>220</v>
      </c>
      <c r="C23" s="14" t="s">
        <v>43</v>
      </c>
      <c r="D23" s="14" t="s">
        <v>40</v>
      </c>
      <c r="E23" s="14" t="s">
        <v>49</v>
      </c>
      <c r="F23" s="35">
        <v>12000</v>
      </c>
    </row>
    <row r="24" spans="1:6" s="2" customFormat="1" ht="13.5">
      <c r="A24" s="21" t="s">
        <v>24</v>
      </c>
      <c r="B24" s="14" t="s">
        <v>212</v>
      </c>
      <c r="C24" s="14"/>
      <c r="D24" s="14"/>
      <c r="E24" s="14"/>
      <c r="F24" s="35">
        <f>SUM(F25:F27)</f>
        <v>768390</v>
      </c>
    </row>
    <row r="25" spans="1:17" s="2" customFormat="1" ht="38.25">
      <c r="A25" s="15" t="s">
        <v>403</v>
      </c>
      <c r="B25" s="14" t="s">
        <v>213</v>
      </c>
      <c r="C25" s="14" t="s">
        <v>43</v>
      </c>
      <c r="D25" s="14" t="s">
        <v>34</v>
      </c>
      <c r="E25" s="14" t="s">
        <v>48</v>
      </c>
      <c r="F25" s="35">
        <v>138130.65</v>
      </c>
      <c r="I25" s="26"/>
      <c r="J25" s="26"/>
      <c r="K25" s="26"/>
      <c r="L25" s="26"/>
      <c r="M25" s="26"/>
      <c r="N25" s="34"/>
      <c r="O25" s="28"/>
      <c r="P25" s="29"/>
      <c r="Q25" s="31"/>
    </row>
    <row r="26" spans="1:17" s="2" customFormat="1" ht="25.5">
      <c r="A26" s="15" t="s">
        <v>163</v>
      </c>
      <c r="B26" s="14" t="s">
        <v>213</v>
      </c>
      <c r="C26" s="14" t="s">
        <v>43</v>
      </c>
      <c r="D26" s="14" t="s">
        <v>34</v>
      </c>
      <c r="E26" s="14" t="s">
        <v>49</v>
      </c>
      <c r="F26" s="35">
        <f>15000+539400.35</f>
        <v>554400.35</v>
      </c>
      <c r="I26" s="26"/>
      <c r="J26" s="26"/>
      <c r="K26" s="26"/>
      <c r="L26" s="26"/>
      <c r="M26" s="26"/>
      <c r="N26" s="34"/>
      <c r="O26" s="28"/>
      <c r="P26" s="29"/>
      <c r="Q26" s="31"/>
    </row>
    <row r="27" spans="1:17" s="2" customFormat="1" ht="18" customHeight="1">
      <c r="A27" s="18" t="s">
        <v>9</v>
      </c>
      <c r="B27" s="14" t="s">
        <v>214</v>
      </c>
      <c r="C27" s="14" t="s">
        <v>43</v>
      </c>
      <c r="D27" s="14" t="s">
        <v>34</v>
      </c>
      <c r="E27" s="14" t="s">
        <v>52</v>
      </c>
      <c r="F27" s="35">
        <v>75859</v>
      </c>
      <c r="I27" s="26"/>
      <c r="J27" s="26"/>
      <c r="K27" s="26"/>
      <c r="L27" s="26"/>
      <c r="M27" s="26"/>
      <c r="N27" s="34"/>
      <c r="O27" s="28"/>
      <c r="P27" s="29"/>
      <c r="Q27" s="31"/>
    </row>
    <row r="28" spans="1:17" s="2" customFormat="1" ht="15" customHeight="1">
      <c r="A28" s="21" t="s">
        <v>47</v>
      </c>
      <c r="B28" s="14" t="s">
        <v>211</v>
      </c>
      <c r="C28" s="14"/>
      <c r="D28" s="14"/>
      <c r="E28" s="14"/>
      <c r="F28" s="35">
        <f>SUM(F29:F30)</f>
        <v>41755720</v>
      </c>
      <c r="I28" s="26"/>
      <c r="J28" s="26"/>
      <c r="K28" s="26"/>
      <c r="L28" s="26"/>
      <c r="M28" s="26"/>
      <c r="N28" s="34"/>
      <c r="O28" s="28"/>
      <c r="P28" s="29"/>
      <c r="Q28" s="31"/>
    </row>
    <row r="29" spans="1:17" s="2" customFormat="1" ht="31.5" customHeight="1">
      <c r="A29" s="21" t="s">
        <v>156</v>
      </c>
      <c r="B29" s="14" t="s">
        <v>399</v>
      </c>
      <c r="C29" s="14" t="s">
        <v>41</v>
      </c>
      <c r="D29" s="14" t="s">
        <v>33</v>
      </c>
      <c r="E29" s="14" t="s">
        <v>53</v>
      </c>
      <c r="F29" s="35">
        <f>11370000+200000+310507+1649213+176000+870000</f>
        <v>14575720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6" s="2" customFormat="1" ht="26.25" customHeight="1">
      <c r="A30" s="21" t="s">
        <v>396</v>
      </c>
      <c r="B30" s="14" t="s">
        <v>215</v>
      </c>
      <c r="C30" s="14" t="s">
        <v>43</v>
      </c>
      <c r="D30" s="14" t="s">
        <v>34</v>
      </c>
      <c r="E30" s="14" t="s">
        <v>53</v>
      </c>
      <c r="F30" s="35">
        <v>27180000</v>
      </c>
    </row>
    <row r="31" spans="1:6" s="2" customFormat="1" ht="13.5" customHeight="1">
      <c r="A31" s="21" t="s">
        <v>115</v>
      </c>
      <c r="B31" s="14" t="s">
        <v>216</v>
      </c>
      <c r="C31" s="14"/>
      <c r="D31" s="14"/>
      <c r="E31" s="14"/>
      <c r="F31" s="35">
        <f>SUM(F32:F37)</f>
        <v>4251210</v>
      </c>
    </row>
    <row r="32" spans="1:6" s="2" customFormat="1" ht="27" customHeight="1">
      <c r="A32" s="21" t="s">
        <v>99</v>
      </c>
      <c r="B32" s="14" t="s">
        <v>98</v>
      </c>
      <c r="C32" s="14" t="s">
        <v>43</v>
      </c>
      <c r="D32" s="14" t="s">
        <v>34</v>
      </c>
      <c r="E32" s="14" t="s">
        <v>53</v>
      </c>
      <c r="F32" s="35">
        <v>1891210</v>
      </c>
    </row>
    <row r="33" spans="1:6" s="2" customFormat="1" ht="24.75" customHeight="1">
      <c r="A33" s="21" t="s">
        <v>100</v>
      </c>
      <c r="B33" s="14" t="s">
        <v>98</v>
      </c>
      <c r="C33" s="14" t="s">
        <v>43</v>
      </c>
      <c r="D33" s="14" t="s">
        <v>33</v>
      </c>
      <c r="E33" s="14" t="s">
        <v>53</v>
      </c>
      <c r="F33" s="35">
        <v>500000</v>
      </c>
    </row>
    <row r="34" spans="1:6" s="2" customFormat="1" ht="27" customHeight="1">
      <c r="A34" s="21" t="s">
        <v>397</v>
      </c>
      <c r="B34" s="14" t="s">
        <v>217</v>
      </c>
      <c r="C34" s="14" t="s">
        <v>43</v>
      </c>
      <c r="D34" s="14" t="s">
        <v>34</v>
      </c>
      <c r="E34" s="14" t="s">
        <v>53</v>
      </c>
      <c r="F34" s="35">
        <f>260000+399000+50000+100000+182000</f>
        <v>991000</v>
      </c>
    </row>
    <row r="35" spans="1:6" s="2" customFormat="1" ht="38.25" customHeight="1">
      <c r="A35" s="21" t="s">
        <v>398</v>
      </c>
      <c r="B35" s="14" t="s">
        <v>218</v>
      </c>
      <c r="C35" s="14" t="s">
        <v>43</v>
      </c>
      <c r="D35" s="14" t="s">
        <v>34</v>
      </c>
      <c r="E35" s="14" t="s">
        <v>53</v>
      </c>
      <c r="F35" s="35">
        <v>285000</v>
      </c>
    </row>
    <row r="36" spans="1:6" s="2" customFormat="1" ht="25.5" customHeight="1">
      <c r="A36" s="21" t="s">
        <v>200</v>
      </c>
      <c r="B36" s="14" t="s">
        <v>196</v>
      </c>
      <c r="C36" s="14" t="s">
        <v>43</v>
      </c>
      <c r="D36" s="14" t="s">
        <v>34</v>
      </c>
      <c r="E36" s="14" t="s">
        <v>53</v>
      </c>
      <c r="F36" s="35">
        <f>405000-176000+110000</f>
        <v>339000</v>
      </c>
    </row>
    <row r="37" spans="1:6" s="2" customFormat="1" ht="36.75" customHeight="1">
      <c r="A37" s="21" t="s">
        <v>395</v>
      </c>
      <c r="B37" s="14" t="s">
        <v>103</v>
      </c>
      <c r="C37" s="14" t="s">
        <v>43</v>
      </c>
      <c r="D37" s="14" t="s">
        <v>34</v>
      </c>
      <c r="E37" s="14" t="s">
        <v>53</v>
      </c>
      <c r="F37" s="35">
        <v>245000</v>
      </c>
    </row>
    <row r="38" spans="1:6" s="2" customFormat="1" ht="12" customHeight="1">
      <c r="A38" s="20" t="s">
        <v>46</v>
      </c>
      <c r="B38" s="14" t="s">
        <v>221</v>
      </c>
      <c r="C38" s="14"/>
      <c r="D38" s="14"/>
      <c r="E38" s="14"/>
      <c r="F38" s="35">
        <f>SUM(F39:F41)</f>
        <v>3310127</v>
      </c>
    </row>
    <row r="39" spans="1:6" s="2" customFormat="1" ht="51" customHeight="1">
      <c r="A39" s="17" t="s">
        <v>152</v>
      </c>
      <c r="B39" s="14" t="s">
        <v>222</v>
      </c>
      <c r="C39" s="14" t="s">
        <v>43</v>
      </c>
      <c r="D39" s="14" t="s">
        <v>40</v>
      </c>
      <c r="E39" s="14" t="s">
        <v>48</v>
      </c>
      <c r="F39" s="35">
        <f>2358553+690+712283</f>
        <v>3071526</v>
      </c>
    </row>
    <row r="40" spans="1:6" s="2" customFormat="1" ht="42.75" customHeight="1">
      <c r="A40" s="17" t="s">
        <v>154</v>
      </c>
      <c r="B40" s="14" t="s">
        <v>222</v>
      </c>
      <c r="C40" s="14" t="s">
        <v>43</v>
      </c>
      <c r="D40" s="14" t="s">
        <v>40</v>
      </c>
      <c r="E40" s="14" t="s">
        <v>49</v>
      </c>
      <c r="F40" s="35">
        <f>199306+36645</f>
        <v>235951</v>
      </c>
    </row>
    <row r="41" spans="1:6" s="2" customFormat="1" ht="39.75" customHeight="1">
      <c r="A41" s="15" t="s">
        <v>155</v>
      </c>
      <c r="B41" s="14" t="s">
        <v>222</v>
      </c>
      <c r="C41" s="14" t="s">
        <v>43</v>
      </c>
      <c r="D41" s="14" t="s">
        <v>40</v>
      </c>
      <c r="E41" s="14" t="s">
        <v>51</v>
      </c>
      <c r="F41" s="35">
        <v>2650</v>
      </c>
    </row>
    <row r="42" spans="1:6" s="2" customFormat="1" ht="25.5">
      <c r="A42" s="16" t="s">
        <v>251</v>
      </c>
      <c r="B42" s="41" t="s">
        <v>119</v>
      </c>
      <c r="C42" s="14"/>
      <c r="D42" s="14"/>
      <c r="E42" s="14"/>
      <c r="F42" s="40">
        <f>F43</f>
        <v>200000</v>
      </c>
    </row>
    <row r="43" spans="1:6" s="2" customFormat="1" ht="15" customHeight="1">
      <c r="A43" s="15" t="s">
        <v>142</v>
      </c>
      <c r="B43" s="14" t="s">
        <v>120</v>
      </c>
      <c r="C43" s="14"/>
      <c r="D43" s="14"/>
      <c r="E43" s="14"/>
      <c r="F43" s="35">
        <f>SUM(F44)</f>
        <v>200000</v>
      </c>
    </row>
    <row r="44" spans="1:6" s="2" customFormat="1" ht="27" customHeight="1">
      <c r="A44" s="21" t="s">
        <v>400</v>
      </c>
      <c r="B44" s="14" t="s">
        <v>121</v>
      </c>
      <c r="C44" s="14" t="s">
        <v>33</v>
      </c>
      <c r="D44" s="14" t="s">
        <v>122</v>
      </c>
      <c r="E44" s="14" t="s">
        <v>53</v>
      </c>
      <c r="F44" s="35">
        <v>200000</v>
      </c>
    </row>
    <row r="45" spans="1:6" s="2" customFormat="1" ht="26.25" customHeight="1">
      <c r="A45" s="22" t="s">
        <v>252</v>
      </c>
      <c r="B45" s="41" t="s">
        <v>118</v>
      </c>
      <c r="C45" s="14"/>
      <c r="D45" s="14"/>
      <c r="E45" s="14"/>
      <c r="F45" s="40">
        <f>SUM(F46+F49+F51+F53+F62+F75+F77)</f>
        <v>275771079.01</v>
      </c>
    </row>
    <row r="46" spans="1:6" s="2" customFormat="1" ht="13.5">
      <c r="A46" s="15" t="s">
        <v>60</v>
      </c>
      <c r="B46" s="14" t="s">
        <v>233</v>
      </c>
      <c r="C46" s="14"/>
      <c r="D46" s="14"/>
      <c r="E46" s="14"/>
      <c r="F46" s="35">
        <f>SUM(F47:F48)</f>
        <v>2811861</v>
      </c>
    </row>
    <row r="47" spans="1:16" s="2" customFormat="1" ht="51">
      <c r="A47" s="17" t="s">
        <v>65</v>
      </c>
      <c r="B47" s="14" t="s">
        <v>234</v>
      </c>
      <c r="C47" s="14" t="s">
        <v>41</v>
      </c>
      <c r="D47" s="14" t="s">
        <v>37</v>
      </c>
      <c r="E47" s="14" t="s">
        <v>48</v>
      </c>
      <c r="F47" s="35">
        <f>1834009+690+553871</f>
        <v>2388570</v>
      </c>
      <c r="I47" s="26"/>
      <c r="J47" s="26"/>
      <c r="K47" s="26"/>
      <c r="L47" s="26"/>
      <c r="M47" s="26"/>
      <c r="N47" s="33"/>
      <c r="O47" s="29"/>
      <c r="P47" s="29"/>
    </row>
    <row r="48" spans="1:16" s="2" customFormat="1" ht="38.25">
      <c r="A48" s="15" t="s">
        <v>66</v>
      </c>
      <c r="B48" s="14" t="s">
        <v>234</v>
      </c>
      <c r="C48" s="14" t="s">
        <v>41</v>
      </c>
      <c r="D48" s="14" t="s">
        <v>37</v>
      </c>
      <c r="E48" s="14" t="s">
        <v>49</v>
      </c>
      <c r="F48" s="35">
        <f>138732.5+284558.5</f>
        <v>423291</v>
      </c>
      <c r="I48" s="26"/>
      <c r="J48" s="26"/>
      <c r="K48" s="26"/>
      <c r="L48" s="26"/>
      <c r="M48" s="26"/>
      <c r="N48" s="33"/>
      <c r="O48" s="29"/>
      <c r="P48" s="29"/>
    </row>
    <row r="49" spans="1:16" s="2" customFormat="1" ht="13.5">
      <c r="A49" s="23" t="s">
        <v>240</v>
      </c>
      <c r="B49" s="14" t="s">
        <v>241</v>
      </c>
      <c r="C49" s="14"/>
      <c r="D49" s="14"/>
      <c r="E49" s="14"/>
      <c r="F49" s="35">
        <f>SUM(F50)</f>
        <v>1669600</v>
      </c>
      <c r="I49" s="26"/>
      <c r="J49" s="26"/>
      <c r="K49" s="26"/>
      <c r="L49" s="26"/>
      <c r="M49" s="26"/>
      <c r="N49" s="33"/>
      <c r="O49" s="29"/>
      <c r="P49" s="32"/>
    </row>
    <row r="50" spans="1:16" s="2" customFormat="1" ht="38.25">
      <c r="A50" s="18" t="s">
        <v>406</v>
      </c>
      <c r="B50" s="14" t="s">
        <v>242</v>
      </c>
      <c r="C50" s="14" t="s">
        <v>39</v>
      </c>
      <c r="D50" s="14" t="s">
        <v>35</v>
      </c>
      <c r="E50" s="14" t="s">
        <v>52</v>
      </c>
      <c r="F50" s="35">
        <v>1669600</v>
      </c>
      <c r="I50" s="26"/>
      <c r="J50" s="26"/>
      <c r="K50" s="26"/>
      <c r="L50" s="26"/>
      <c r="M50" s="26"/>
      <c r="N50" s="34"/>
      <c r="O50" s="28"/>
      <c r="P50" s="32"/>
    </row>
    <row r="51" spans="1:16" s="2" customFormat="1" ht="13.5">
      <c r="A51" s="18" t="s">
        <v>24</v>
      </c>
      <c r="B51" s="14" t="s">
        <v>107</v>
      </c>
      <c r="C51" s="14"/>
      <c r="D51" s="14"/>
      <c r="E51" s="14"/>
      <c r="F51" s="35">
        <f>SUM(F52)</f>
        <v>75859</v>
      </c>
      <c r="I51" s="26"/>
      <c r="J51" s="26"/>
      <c r="K51" s="26"/>
      <c r="L51" s="26"/>
      <c r="M51" s="26"/>
      <c r="N51" s="34"/>
      <c r="O51" s="28"/>
      <c r="P51" s="32"/>
    </row>
    <row r="52" spans="1:16" s="2" customFormat="1" ht="25.5">
      <c r="A52" s="18" t="s">
        <v>111</v>
      </c>
      <c r="B52" s="14" t="s">
        <v>108</v>
      </c>
      <c r="C52" s="14" t="s">
        <v>41</v>
      </c>
      <c r="D52" s="14" t="s">
        <v>37</v>
      </c>
      <c r="E52" s="14" t="s">
        <v>52</v>
      </c>
      <c r="F52" s="35">
        <f>44249+31610</f>
        <v>75859</v>
      </c>
      <c r="I52" s="26"/>
      <c r="J52" s="26"/>
      <c r="K52" s="26"/>
      <c r="L52" s="26"/>
      <c r="M52" s="26"/>
      <c r="N52" s="34"/>
      <c r="O52" s="28"/>
      <c r="P52" s="32"/>
    </row>
    <row r="53" spans="1:16" s="2" customFormat="1" ht="16.5" customHeight="1">
      <c r="A53" s="21" t="s">
        <v>47</v>
      </c>
      <c r="B53" s="14" t="s">
        <v>223</v>
      </c>
      <c r="C53" s="14"/>
      <c r="D53" s="14"/>
      <c r="E53" s="14"/>
      <c r="F53" s="35">
        <f>SUM(F54:F61)</f>
        <v>235702252</v>
      </c>
      <c r="I53" s="26"/>
      <c r="J53" s="26"/>
      <c r="K53" s="26"/>
      <c r="L53" s="26"/>
      <c r="M53" s="26"/>
      <c r="N53" s="34"/>
      <c r="O53" s="28"/>
      <c r="P53" s="32"/>
    </row>
    <row r="54" spans="1:16" s="2" customFormat="1" ht="40.5" customHeight="1">
      <c r="A54" s="21" t="s">
        <v>132</v>
      </c>
      <c r="B54" s="14" t="s">
        <v>473</v>
      </c>
      <c r="C54" s="14" t="s">
        <v>41</v>
      </c>
      <c r="D54" s="14" t="s">
        <v>34</v>
      </c>
      <c r="E54" s="14" t="s">
        <v>53</v>
      </c>
      <c r="F54" s="35">
        <v>698700</v>
      </c>
      <c r="I54" s="26"/>
      <c r="J54" s="26"/>
      <c r="K54" s="26"/>
      <c r="L54" s="26"/>
      <c r="M54" s="26"/>
      <c r="N54" s="34"/>
      <c r="O54" s="28"/>
      <c r="P54" s="32"/>
    </row>
    <row r="55" spans="1:16" s="2" customFormat="1" ht="25.5">
      <c r="A55" s="21" t="s">
        <v>157</v>
      </c>
      <c r="B55" s="14" t="s">
        <v>224</v>
      </c>
      <c r="C55" s="14" t="s">
        <v>41</v>
      </c>
      <c r="D55" s="14" t="s">
        <v>34</v>
      </c>
      <c r="E55" s="14" t="s">
        <v>53</v>
      </c>
      <c r="F55" s="35">
        <f>40475094+327167+238584</f>
        <v>41040845</v>
      </c>
      <c r="I55" s="26"/>
      <c r="J55" s="26"/>
      <c r="K55" s="26"/>
      <c r="L55" s="26"/>
      <c r="M55" s="26"/>
      <c r="N55" s="34"/>
      <c r="O55" s="28"/>
      <c r="P55" s="32"/>
    </row>
    <row r="56" spans="1:6" s="2" customFormat="1" ht="25.5">
      <c r="A56" s="21" t="s">
        <v>159</v>
      </c>
      <c r="B56" s="14" t="s">
        <v>229</v>
      </c>
      <c r="C56" s="14" t="s">
        <v>41</v>
      </c>
      <c r="D56" s="14" t="s">
        <v>33</v>
      </c>
      <c r="E56" s="14" t="s">
        <v>53</v>
      </c>
      <c r="F56" s="35">
        <f>14323469+35154+580021+415179+23436</f>
        <v>15377259</v>
      </c>
    </row>
    <row r="57" spans="1:6" s="2" customFormat="1" ht="25.5">
      <c r="A57" s="21" t="s">
        <v>158</v>
      </c>
      <c r="B57" s="14" t="s">
        <v>228</v>
      </c>
      <c r="C57" s="14" t="s">
        <v>41</v>
      </c>
      <c r="D57" s="14" t="s">
        <v>34</v>
      </c>
      <c r="E57" s="14" t="s">
        <v>53</v>
      </c>
      <c r="F57" s="35">
        <f>4662047+30701</f>
        <v>4692748</v>
      </c>
    </row>
    <row r="58" spans="1:17" s="2" customFormat="1" ht="51">
      <c r="A58" s="21" t="s">
        <v>405</v>
      </c>
      <c r="B58" s="14" t="s">
        <v>235</v>
      </c>
      <c r="C58" s="14" t="s">
        <v>41</v>
      </c>
      <c r="D58" s="14" t="s">
        <v>37</v>
      </c>
      <c r="E58" s="14" t="s">
        <v>53</v>
      </c>
      <c r="F58" s="35">
        <v>849400</v>
      </c>
      <c r="I58" s="26"/>
      <c r="J58" s="26"/>
      <c r="K58" s="26"/>
      <c r="L58" s="26"/>
      <c r="M58" s="26"/>
      <c r="N58" s="34"/>
      <c r="O58" s="28"/>
      <c r="P58" s="32"/>
      <c r="Q58" s="31"/>
    </row>
    <row r="59" spans="1:6" s="2" customFormat="1" ht="54" customHeight="1">
      <c r="A59" s="21" t="s">
        <v>56</v>
      </c>
      <c r="B59" s="14" t="s">
        <v>225</v>
      </c>
      <c r="C59" s="14" t="s">
        <v>41</v>
      </c>
      <c r="D59" s="14" t="s">
        <v>34</v>
      </c>
      <c r="E59" s="14" t="s">
        <v>53</v>
      </c>
      <c r="F59" s="35">
        <v>16262100</v>
      </c>
    </row>
    <row r="60" spans="1:6" s="2" customFormat="1" ht="51" customHeight="1">
      <c r="A60" s="21" t="s">
        <v>57</v>
      </c>
      <c r="B60" s="14" t="s">
        <v>226</v>
      </c>
      <c r="C60" s="14" t="s">
        <v>41</v>
      </c>
      <c r="D60" s="14" t="s">
        <v>34</v>
      </c>
      <c r="E60" s="14" t="s">
        <v>53</v>
      </c>
      <c r="F60" s="35">
        <v>155975700</v>
      </c>
    </row>
    <row r="61" spans="1:16" s="2" customFormat="1" ht="38.25" customHeight="1">
      <c r="A61" s="21" t="s">
        <v>132</v>
      </c>
      <c r="B61" s="14" t="s">
        <v>227</v>
      </c>
      <c r="C61" s="14" t="s">
        <v>41</v>
      </c>
      <c r="D61" s="14" t="s">
        <v>34</v>
      </c>
      <c r="E61" s="14" t="s">
        <v>53</v>
      </c>
      <c r="F61" s="35">
        <f>667080+138420</f>
        <v>805500</v>
      </c>
      <c r="I61" s="26"/>
      <c r="J61" s="26"/>
      <c r="K61" s="26"/>
      <c r="L61" s="26"/>
      <c r="M61" s="26"/>
      <c r="N61" s="34"/>
      <c r="O61" s="28"/>
      <c r="P61" s="32"/>
    </row>
    <row r="62" spans="1:6" s="2" customFormat="1" ht="13.5">
      <c r="A62" s="21" t="s">
        <v>115</v>
      </c>
      <c r="B62" s="14" t="s">
        <v>230</v>
      </c>
      <c r="C62" s="14"/>
      <c r="D62" s="14"/>
      <c r="E62" s="14"/>
      <c r="F62" s="35">
        <f>SUM(F63:F74)</f>
        <v>18997730.01</v>
      </c>
    </row>
    <row r="63" spans="1:6" s="2" customFormat="1" ht="25.5">
      <c r="A63" s="21" t="s">
        <v>475</v>
      </c>
      <c r="B63" s="14" t="s">
        <v>474</v>
      </c>
      <c r="C63" s="14" t="s">
        <v>41</v>
      </c>
      <c r="D63" s="14" t="s">
        <v>41</v>
      </c>
      <c r="E63" s="14" t="s">
        <v>53</v>
      </c>
      <c r="F63" s="35">
        <v>9140050</v>
      </c>
    </row>
    <row r="64" spans="1:6" s="2" customFormat="1" ht="25.5">
      <c r="A64" s="21" t="s">
        <v>419</v>
      </c>
      <c r="B64" s="14" t="s">
        <v>420</v>
      </c>
      <c r="C64" s="14" t="s">
        <v>41</v>
      </c>
      <c r="D64" s="14" t="s">
        <v>32</v>
      </c>
      <c r="E64" s="14" t="s">
        <v>53</v>
      </c>
      <c r="F64" s="35">
        <f>393116+409193</f>
        <v>802309</v>
      </c>
    </row>
    <row r="65" spans="1:6" s="2" customFormat="1" ht="25.5">
      <c r="A65" s="21" t="s">
        <v>419</v>
      </c>
      <c r="B65" s="14" t="s">
        <v>420</v>
      </c>
      <c r="C65" s="14" t="s">
        <v>41</v>
      </c>
      <c r="D65" s="14" t="s">
        <v>34</v>
      </c>
      <c r="E65" s="14" t="s">
        <v>53</v>
      </c>
      <c r="F65" s="35">
        <v>96538</v>
      </c>
    </row>
    <row r="66" spans="1:6" s="2" customFormat="1" ht="25.5">
      <c r="A66" s="21" t="s">
        <v>126</v>
      </c>
      <c r="B66" s="14" t="s">
        <v>232</v>
      </c>
      <c r="C66" s="14" t="s">
        <v>41</v>
      </c>
      <c r="D66" s="14" t="s">
        <v>41</v>
      </c>
      <c r="E66" s="14" t="s">
        <v>53</v>
      </c>
      <c r="F66" s="35">
        <v>400000</v>
      </c>
    </row>
    <row r="67" spans="1:6" s="2" customFormat="1" ht="24" customHeight="1">
      <c r="A67" s="21" t="s">
        <v>201</v>
      </c>
      <c r="B67" s="14" t="s">
        <v>192</v>
      </c>
      <c r="C67" s="14" t="s">
        <v>41</v>
      </c>
      <c r="D67" s="14" t="s">
        <v>32</v>
      </c>
      <c r="E67" s="14" t="s">
        <v>53</v>
      </c>
      <c r="F67" s="35">
        <v>422882.53</v>
      </c>
    </row>
    <row r="68" spans="1:6" s="2" customFormat="1" ht="31.5" customHeight="1">
      <c r="A68" s="21" t="s">
        <v>202</v>
      </c>
      <c r="B68" s="14" t="s">
        <v>192</v>
      </c>
      <c r="C68" s="14" t="s">
        <v>41</v>
      </c>
      <c r="D68" s="14" t="s">
        <v>34</v>
      </c>
      <c r="E68" s="14" t="s">
        <v>53</v>
      </c>
      <c r="F68" s="35">
        <f>2816680.48+160400+833000+469478</f>
        <v>4279558.48</v>
      </c>
    </row>
    <row r="69" spans="1:6" s="2" customFormat="1" ht="24" customHeight="1">
      <c r="A69" s="21" t="s">
        <v>207</v>
      </c>
      <c r="B69" s="14" t="s">
        <v>206</v>
      </c>
      <c r="C69" s="14" t="s">
        <v>41</v>
      </c>
      <c r="D69" s="14" t="s">
        <v>32</v>
      </c>
      <c r="E69" s="14" t="s">
        <v>53</v>
      </c>
      <c r="F69" s="35">
        <f>100500+7500</f>
        <v>108000</v>
      </c>
    </row>
    <row r="70" spans="1:6" s="2" customFormat="1" ht="24" customHeight="1">
      <c r="A70" s="21" t="s">
        <v>207</v>
      </c>
      <c r="B70" s="14" t="s">
        <v>206</v>
      </c>
      <c r="C70" s="14" t="s">
        <v>41</v>
      </c>
      <c r="D70" s="14" t="s">
        <v>34</v>
      </c>
      <c r="E70" s="14" t="s">
        <v>53</v>
      </c>
      <c r="F70" s="35">
        <f>357560+250000+34000+291990</f>
        <v>933550</v>
      </c>
    </row>
    <row r="71" spans="1:6" s="2" customFormat="1" ht="24" customHeight="1">
      <c r="A71" s="21" t="s">
        <v>207</v>
      </c>
      <c r="B71" s="14" t="s">
        <v>206</v>
      </c>
      <c r="C71" s="14" t="s">
        <v>41</v>
      </c>
      <c r="D71" s="14" t="s">
        <v>33</v>
      </c>
      <c r="E71" s="14" t="s">
        <v>53</v>
      </c>
      <c r="F71" s="35">
        <v>6700</v>
      </c>
    </row>
    <row r="72" spans="1:15" s="2" customFormat="1" ht="67.5" customHeight="1">
      <c r="A72" s="25" t="s">
        <v>421</v>
      </c>
      <c r="B72" s="14" t="s">
        <v>422</v>
      </c>
      <c r="C72" s="14" t="s">
        <v>41</v>
      </c>
      <c r="D72" s="14" t="s">
        <v>32</v>
      </c>
      <c r="E72" s="14" t="s">
        <v>53</v>
      </c>
      <c r="F72" s="35">
        <v>19049</v>
      </c>
      <c r="H72" s="26"/>
      <c r="I72" s="26"/>
      <c r="J72" s="26"/>
      <c r="K72" s="26"/>
      <c r="L72" s="26"/>
      <c r="M72" s="34"/>
      <c r="N72" s="28"/>
      <c r="O72" s="32"/>
    </row>
    <row r="73" spans="1:15" s="2" customFormat="1" ht="26.25" customHeight="1">
      <c r="A73" s="15" t="s">
        <v>401</v>
      </c>
      <c r="B73" s="14" t="s">
        <v>231</v>
      </c>
      <c r="C73" s="14" t="s">
        <v>41</v>
      </c>
      <c r="D73" s="14" t="s">
        <v>41</v>
      </c>
      <c r="E73" s="14" t="s">
        <v>49</v>
      </c>
      <c r="F73" s="35">
        <v>158624.9</v>
      </c>
      <c r="H73" s="26"/>
      <c r="I73" s="26"/>
      <c r="J73" s="26"/>
      <c r="K73" s="26"/>
      <c r="L73" s="26"/>
      <c r="M73" s="34"/>
      <c r="N73" s="28"/>
      <c r="O73" s="32"/>
    </row>
    <row r="74" spans="1:15" s="2" customFormat="1" ht="42" customHeight="1">
      <c r="A74" s="21" t="s">
        <v>404</v>
      </c>
      <c r="B74" s="14" t="s">
        <v>231</v>
      </c>
      <c r="C74" s="14" t="s">
        <v>41</v>
      </c>
      <c r="D74" s="14" t="s">
        <v>41</v>
      </c>
      <c r="E74" s="14" t="s">
        <v>53</v>
      </c>
      <c r="F74" s="35">
        <f>2549744.1+80724</f>
        <v>2630468.1</v>
      </c>
      <c r="H74" s="26"/>
      <c r="I74" s="26"/>
      <c r="J74" s="26"/>
      <c r="K74" s="26"/>
      <c r="L74" s="26"/>
      <c r="M74" s="34"/>
      <c r="N74" s="28"/>
      <c r="O74" s="32"/>
    </row>
    <row r="75" spans="1:15" s="2" customFormat="1" ht="13.5">
      <c r="A75" s="15" t="s">
        <v>50</v>
      </c>
      <c r="B75" s="14" t="s">
        <v>236</v>
      </c>
      <c r="C75" s="14"/>
      <c r="D75" s="14"/>
      <c r="E75" s="14"/>
      <c r="F75" s="35">
        <f>SUM(F76)</f>
        <v>12000</v>
      </c>
      <c r="H75" s="31"/>
      <c r="I75" s="31"/>
      <c r="J75" s="31"/>
      <c r="K75" s="31"/>
      <c r="L75" s="31"/>
      <c r="M75" s="31"/>
      <c r="N75" s="31"/>
      <c r="O75" s="31"/>
    </row>
    <row r="76" spans="1:6" s="2" customFormat="1" ht="34.5" customHeight="1">
      <c r="A76" s="15" t="s">
        <v>155</v>
      </c>
      <c r="B76" s="14" t="s">
        <v>237</v>
      </c>
      <c r="C76" s="14" t="s">
        <v>41</v>
      </c>
      <c r="D76" s="14" t="s">
        <v>37</v>
      </c>
      <c r="E76" s="14" t="s">
        <v>51</v>
      </c>
      <c r="F76" s="35">
        <v>12000</v>
      </c>
    </row>
    <row r="77" spans="1:6" s="2" customFormat="1" ht="13.5">
      <c r="A77" s="20" t="s">
        <v>46</v>
      </c>
      <c r="B77" s="14" t="s">
        <v>238</v>
      </c>
      <c r="C77" s="14"/>
      <c r="D77" s="14"/>
      <c r="E77" s="14"/>
      <c r="F77" s="35">
        <f>SUM(F78:F80)</f>
        <v>16501777</v>
      </c>
    </row>
    <row r="78" spans="1:6" s="2" customFormat="1" ht="50.25" customHeight="1">
      <c r="A78" s="17" t="s">
        <v>152</v>
      </c>
      <c r="B78" s="14" t="s">
        <v>239</v>
      </c>
      <c r="C78" s="14" t="s">
        <v>41</v>
      </c>
      <c r="D78" s="14" t="s">
        <v>37</v>
      </c>
      <c r="E78" s="14" t="s">
        <v>48</v>
      </c>
      <c r="F78" s="35">
        <f>11976222+2760+3616822+1956</f>
        <v>15597760</v>
      </c>
    </row>
    <row r="79" spans="1:6" s="2" customFormat="1" ht="51">
      <c r="A79" s="17" t="s">
        <v>154</v>
      </c>
      <c r="B79" s="14" t="s">
        <v>239</v>
      </c>
      <c r="C79" s="14" t="s">
        <v>41</v>
      </c>
      <c r="D79" s="14" t="s">
        <v>37</v>
      </c>
      <c r="E79" s="14" t="s">
        <v>49</v>
      </c>
      <c r="F79" s="35">
        <f>290346+604671</f>
        <v>895017</v>
      </c>
    </row>
    <row r="80" spans="1:6" s="2" customFormat="1" ht="38.25">
      <c r="A80" s="15" t="s">
        <v>155</v>
      </c>
      <c r="B80" s="14" t="s">
        <v>239</v>
      </c>
      <c r="C80" s="14" t="s">
        <v>41</v>
      </c>
      <c r="D80" s="14" t="s">
        <v>37</v>
      </c>
      <c r="E80" s="14" t="s">
        <v>51</v>
      </c>
      <c r="F80" s="35">
        <v>9000</v>
      </c>
    </row>
    <row r="81" spans="1:6" s="2" customFormat="1" ht="25.5">
      <c r="A81" s="24" t="s">
        <v>253</v>
      </c>
      <c r="B81" s="41" t="s">
        <v>116</v>
      </c>
      <c r="C81" s="14"/>
      <c r="D81" s="14"/>
      <c r="E81" s="14"/>
      <c r="F81" s="40">
        <f>F82+F84+F87</f>
        <v>196193448</v>
      </c>
    </row>
    <row r="82" spans="1:6" s="2" customFormat="1" ht="13.5">
      <c r="A82" s="23" t="s">
        <v>240</v>
      </c>
      <c r="B82" s="14" t="s">
        <v>267</v>
      </c>
      <c r="C82" s="14"/>
      <c r="D82" s="14"/>
      <c r="E82" s="14"/>
      <c r="F82" s="35">
        <f>SUM(F83)</f>
        <v>7678900</v>
      </c>
    </row>
    <row r="83" spans="1:6" s="2" customFormat="1" ht="51">
      <c r="A83" s="23" t="s">
        <v>407</v>
      </c>
      <c r="B83" s="14" t="s">
        <v>268</v>
      </c>
      <c r="C83" s="14" t="s">
        <v>39</v>
      </c>
      <c r="D83" s="14" t="s">
        <v>35</v>
      </c>
      <c r="E83" s="14" t="s">
        <v>52</v>
      </c>
      <c r="F83" s="35">
        <v>7678900</v>
      </c>
    </row>
    <row r="84" spans="1:6" s="3" customFormat="1" ht="15.75" customHeight="1">
      <c r="A84" s="21" t="s">
        <v>47</v>
      </c>
      <c r="B84" s="14" t="s">
        <v>243</v>
      </c>
      <c r="C84" s="14"/>
      <c r="D84" s="14"/>
      <c r="E84" s="14"/>
      <c r="F84" s="35">
        <f>SUM(F85:F86)</f>
        <v>186475972</v>
      </c>
    </row>
    <row r="85" spans="1:6" s="3" customFormat="1" ht="40.5" customHeight="1">
      <c r="A85" s="21" t="s">
        <v>55</v>
      </c>
      <c r="B85" s="14" t="s">
        <v>244</v>
      </c>
      <c r="C85" s="14" t="s">
        <v>41</v>
      </c>
      <c r="D85" s="14" t="s">
        <v>32</v>
      </c>
      <c r="E85" s="14" t="s">
        <v>53</v>
      </c>
      <c r="F85" s="35">
        <v>134642000</v>
      </c>
    </row>
    <row r="86" spans="1:6" s="2" customFormat="1" ht="41.25" customHeight="1">
      <c r="A86" s="21" t="s">
        <v>117</v>
      </c>
      <c r="B86" s="14" t="s">
        <v>245</v>
      </c>
      <c r="C86" s="14" t="s">
        <v>41</v>
      </c>
      <c r="D86" s="14" t="s">
        <v>32</v>
      </c>
      <c r="E86" s="14" t="s">
        <v>53</v>
      </c>
      <c r="F86" s="35">
        <f>51069368+458760+305844</f>
        <v>51833972</v>
      </c>
    </row>
    <row r="87" spans="1:6" s="2" customFormat="1" ht="17.25" customHeight="1">
      <c r="A87" s="21" t="s">
        <v>115</v>
      </c>
      <c r="B87" s="14" t="s">
        <v>476</v>
      </c>
      <c r="C87" s="14"/>
      <c r="D87" s="14"/>
      <c r="E87" s="14"/>
      <c r="F87" s="35">
        <f>SUM(F88:F92)</f>
        <v>2038576</v>
      </c>
    </row>
    <row r="88" spans="1:6" s="2" customFormat="1" ht="41.25" customHeight="1">
      <c r="A88" s="21" t="s">
        <v>480</v>
      </c>
      <c r="B88" s="14" t="s">
        <v>477</v>
      </c>
      <c r="C88" s="14" t="s">
        <v>41</v>
      </c>
      <c r="D88" s="14" t="s">
        <v>32</v>
      </c>
      <c r="E88" s="14" t="s">
        <v>53</v>
      </c>
      <c r="F88" s="35">
        <v>294100</v>
      </c>
    </row>
    <row r="89" spans="1:6" s="2" customFormat="1" ht="52.5" customHeight="1">
      <c r="A89" s="25" t="s">
        <v>479</v>
      </c>
      <c r="B89" s="14" t="s">
        <v>478</v>
      </c>
      <c r="C89" s="14" t="s">
        <v>39</v>
      </c>
      <c r="D89" s="14" t="s">
        <v>35</v>
      </c>
      <c r="E89" s="14" t="s">
        <v>52</v>
      </c>
      <c r="F89" s="35">
        <v>1346800</v>
      </c>
    </row>
    <row r="90" spans="1:6" s="2" customFormat="1" ht="25.5" customHeight="1">
      <c r="A90" s="21" t="s">
        <v>423</v>
      </c>
      <c r="B90" s="14" t="s">
        <v>424</v>
      </c>
      <c r="C90" s="14" t="s">
        <v>41</v>
      </c>
      <c r="D90" s="14" t="s">
        <v>32</v>
      </c>
      <c r="E90" s="14" t="s">
        <v>53</v>
      </c>
      <c r="F90" s="35">
        <v>32676</v>
      </c>
    </row>
    <row r="91" spans="1:6" s="2" customFormat="1" ht="41.25" customHeight="1">
      <c r="A91" s="21" t="s">
        <v>425</v>
      </c>
      <c r="B91" s="14" t="s">
        <v>426</v>
      </c>
      <c r="C91" s="14" t="s">
        <v>41</v>
      </c>
      <c r="D91" s="14" t="s">
        <v>32</v>
      </c>
      <c r="E91" s="14" t="s">
        <v>53</v>
      </c>
      <c r="F91" s="35">
        <v>249000</v>
      </c>
    </row>
    <row r="92" spans="1:6" s="2" customFormat="1" ht="51" customHeight="1">
      <c r="A92" s="21" t="s">
        <v>427</v>
      </c>
      <c r="B92" s="14" t="s">
        <v>428</v>
      </c>
      <c r="C92" s="14" t="s">
        <v>41</v>
      </c>
      <c r="D92" s="14" t="s">
        <v>32</v>
      </c>
      <c r="E92" s="14" t="s">
        <v>53</v>
      </c>
      <c r="F92" s="35">
        <v>116000</v>
      </c>
    </row>
    <row r="93" spans="1:6" s="2" customFormat="1" ht="13.5">
      <c r="A93" s="24" t="s">
        <v>254</v>
      </c>
      <c r="B93" s="41" t="s">
        <v>80</v>
      </c>
      <c r="C93" s="14"/>
      <c r="D93" s="14"/>
      <c r="E93" s="14"/>
      <c r="F93" s="40">
        <f>SUM(F94)</f>
        <v>397100</v>
      </c>
    </row>
    <row r="94" spans="1:6" s="2" customFormat="1" ht="13.5">
      <c r="A94" s="18" t="s">
        <v>24</v>
      </c>
      <c r="B94" s="14" t="s">
        <v>146</v>
      </c>
      <c r="C94" s="14"/>
      <c r="D94" s="14"/>
      <c r="E94" s="14"/>
      <c r="F94" s="35">
        <f>F95+F96</f>
        <v>397100</v>
      </c>
    </row>
    <row r="95" spans="1:6" s="2" customFormat="1" ht="25.5">
      <c r="A95" s="15" t="s">
        <v>514</v>
      </c>
      <c r="B95" s="14" t="s">
        <v>481</v>
      </c>
      <c r="C95" s="14" t="s">
        <v>41</v>
      </c>
      <c r="D95" s="14" t="s">
        <v>41</v>
      </c>
      <c r="E95" s="14" t="s">
        <v>53</v>
      </c>
      <c r="F95" s="35">
        <v>257100</v>
      </c>
    </row>
    <row r="96" spans="1:6" s="3" customFormat="1" ht="24" customHeight="1">
      <c r="A96" s="15" t="s">
        <v>164</v>
      </c>
      <c r="B96" s="14" t="s">
        <v>470</v>
      </c>
      <c r="C96" s="14" t="s">
        <v>41</v>
      </c>
      <c r="D96" s="14" t="s">
        <v>41</v>
      </c>
      <c r="E96" s="14" t="s">
        <v>49</v>
      </c>
      <c r="F96" s="35">
        <v>140000</v>
      </c>
    </row>
    <row r="97" spans="1:6" s="2" customFormat="1" ht="38.25" customHeight="1">
      <c r="A97" s="16" t="s">
        <v>416</v>
      </c>
      <c r="B97" s="41" t="s">
        <v>77</v>
      </c>
      <c r="C97" s="14"/>
      <c r="D97" s="14"/>
      <c r="E97" s="14"/>
      <c r="F97" s="40">
        <f>F98</f>
        <v>1205714.29</v>
      </c>
    </row>
    <row r="98" spans="1:6" s="2" customFormat="1" ht="28.5" customHeight="1">
      <c r="A98" s="15" t="s">
        <v>76</v>
      </c>
      <c r="B98" s="14" t="s">
        <v>78</v>
      </c>
      <c r="C98" s="14"/>
      <c r="D98" s="14"/>
      <c r="E98" s="14"/>
      <c r="F98" s="35">
        <f>SUM(F99:F100)</f>
        <v>1205714.29</v>
      </c>
    </row>
    <row r="99" spans="1:6" s="2" customFormat="1" ht="18" customHeight="1">
      <c r="A99" s="15" t="s">
        <v>417</v>
      </c>
      <c r="B99" s="14" t="s">
        <v>79</v>
      </c>
      <c r="C99" s="14" t="s">
        <v>35</v>
      </c>
      <c r="D99" s="14" t="s">
        <v>42</v>
      </c>
      <c r="E99" s="14" t="s">
        <v>51</v>
      </c>
      <c r="F99" s="35">
        <v>150000</v>
      </c>
    </row>
    <row r="100" spans="1:6" s="2" customFormat="1" ht="29.25" customHeight="1">
      <c r="A100" s="15" t="s">
        <v>504</v>
      </c>
      <c r="B100" s="14" t="s">
        <v>505</v>
      </c>
      <c r="C100" s="14" t="s">
        <v>35</v>
      </c>
      <c r="D100" s="14" t="s">
        <v>42</v>
      </c>
      <c r="E100" s="14" t="s">
        <v>51</v>
      </c>
      <c r="F100" s="35">
        <v>1055714.29</v>
      </c>
    </row>
    <row r="101" spans="1:16" s="2" customFormat="1" ht="24" customHeight="1">
      <c r="A101" s="24" t="s">
        <v>255</v>
      </c>
      <c r="B101" s="41" t="s">
        <v>73</v>
      </c>
      <c r="C101" s="14"/>
      <c r="D101" s="14"/>
      <c r="E101" s="14"/>
      <c r="F101" s="40">
        <f>F102+F104</f>
        <v>6541592</v>
      </c>
      <c r="H101" s="26"/>
      <c r="I101" s="26"/>
      <c r="J101" s="26"/>
      <c r="K101" s="26"/>
      <c r="L101" s="26"/>
      <c r="M101" s="27"/>
      <c r="N101" s="28"/>
      <c r="O101" s="32"/>
      <c r="P101" s="31"/>
    </row>
    <row r="102" spans="1:16" s="2" customFormat="1" ht="20.25" customHeight="1">
      <c r="A102" s="18" t="s">
        <v>47</v>
      </c>
      <c r="B102" s="14" t="s">
        <v>74</v>
      </c>
      <c r="C102" s="14"/>
      <c r="D102" s="14"/>
      <c r="E102" s="14"/>
      <c r="F102" s="35">
        <f>SUM(F103)</f>
        <v>6350842</v>
      </c>
      <c r="H102" s="26"/>
      <c r="I102" s="26"/>
      <c r="J102" s="26"/>
      <c r="K102" s="26"/>
      <c r="L102" s="26"/>
      <c r="M102" s="26"/>
      <c r="N102" s="27"/>
      <c r="O102" s="28"/>
      <c r="P102" s="29"/>
    </row>
    <row r="103" spans="1:16" s="2" customFormat="1" ht="41.25" customHeight="1">
      <c r="A103" s="21" t="s">
        <v>408</v>
      </c>
      <c r="B103" s="14" t="s">
        <v>75</v>
      </c>
      <c r="C103" s="14" t="s">
        <v>32</v>
      </c>
      <c r="D103" s="14" t="s">
        <v>44</v>
      </c>
      <c r="E103" s="14" t="s">
        <v>53</v>
      </c>
      <c r="F103" s="35">
        <f>6000842+350000</f>
        <v>6350842</v>
      </c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6" s="2" customFormat="1" ht="15.75" customHeight="1">
      <c r="A104" s="21" t="s">
        <v>115</v>
      </c>
      <c r="B104" s="14" t="s">
        <v>188</v>
      </c>
      <c r="C104" s="14"/>
      <c r="D104" s="14"/>
      <c r="E104" s="14"/>
      <c r="F104" s="35">
        <f>F105</f>
        <v>190750</v>
      </c>
    </row>
    <row r="105" spans="1:6" s="2" customFormat="1" ht="43.5" customHeight="1">
      <c r="A105" s="21" t="s">
        <v>408</v>
      </c>
      <c r="B105" s="14" t="s">
        <v>189</v>
      </c>
      <c r="C105" s="14" t="s">
        <v>32</v>
      </c>
      <c r="D105" s="14" t="s">
        <v>44</v>
      </c>
      <c r="E105" s="14" t="s">
        <v>53</v>
      </c>
      <c r="F105" s="35">
        <v>190750</v>
      </c>
    </row>
    <row r="106" spans="1:6" s="2" customFormat="1" ht="36" customHeight="1">
      <c r="A106" s="16" t="s">
        <v>256</v>
      </c>
      <c r="B106" s="41" t="s">
        <v>269</v>
      </c>
      <c r="C106" s="14"/>
      <c r="D106" s="14"/>
      <c r="E106" s="14"/>
      <c r="F106" s="40">
        <f>F107+F109</f>
        <v>6494221</v>
      </c>
    </row>
    <row r="107" spans="1:6" s="2" customFormat="1" ht="13.5">
      <c r="A107" s="15" t="s">
        <v>50</v>
      </c>
      <c r="B107" s="14" t="s">
        <v>270</v>
      </c>
      <c r="C107" s="14"/>
      <c r="D107" s="14"/>
      <c r="E107" s="14"/>
      <c r="F107" s="35">
        <f>SUM(F108)</f>
        <v>10475</v>
      </c>
    </row>
    <row r="108" spans="1:6" s="2" customFormat="1" ht="15.75" customHeight="1">
      <c r="A108" s="15" t="s">
        <v>22</v>
      </c>
      <c r="B108" s="14" t="s">
        <v>271</v>
      </c>
      <c r="C108" s="14" t="s">
        <v>33</v>
      </c>
      <c r="D108" s="14" t="s">
        <v>37</v>
      </c>
      <c r="E108" s="14" t="s">
        <v>51</v>
      </c>
      <c r="F108" s="35">
        <v>10475</v>
      </c>
    </row>
    <row r="109" spans="1:6" s="2" customFormat="1" ht="13.5">
      <c r="A109" s="18" t="s">
        <v>46</v>
      </c>
      <c r="B109" s="14" t="s">
        <v>272</v>
      </c>
      <c r="C109" s="14"/>
      <c r="D109" s="14"/>
      <c r="E109" s="14"/>
      <c r="F109" s="35">
        <f>SUM(F110:F112)</f>
        <v>6483746</v>
      </c>
    </row>
    <row r="110" spans="1:6" s="2" customFormat="1" ht="42" customHeight="1">
      <c r="A110" s="15" t="s">
        <v>150</v>
      </c>
      <c r="B110" s="14" t="s">
        <v>273</v>
      </c>
      <c r="C110" s="14" t="s">
        <v>33</v>
      </c>
      <c r="D110" s="14" t="s">
        <v>37</v>
      </c>
      <c r="E110" s="14" t="s">
        <v>48</v>
      </c>
      <c r="F110" s="35">
        <f>3902627+1173594</f>
        <v>5076221</v>
      </c>
    </row>
    <row r="111" spans="1:6" s="2" customFormat="1" ht="25.5">
      <c r="A111" s="15" t="s">
        <v>26</v>
      </c>
      <c r="B111" s="14" t="s">
        <v>273</v>
      </c>
      <c r="C111" s="14" t="s">
        <v>33</v>
      </c>
      <c r="D111" s="14" t="s">
        <v>37</v>
      </c>
      <c r="E111" s="14" t="s">
        <v>49</v>
      </c>
      <c r="F111" s="35">
        <f>445434.79+959390.21</f>
        <v>1404825</v>
      </c>
    </row>
    <row r="112" spans="1:6" s="2" customFormat="1" ht="13.5">
      <c r="A112" s="15" t="s">
        <v>22</v>
      </c>
      <c r="B112" s="14" t="s">
        <v>273</v>
      </c>
      <c r="C112" s="14" t="s">
        <v>33</v>
      </c>
      <c r="D112" s="14" t="s">
        <v>37</v>
      </c>
      <c r="E112" s="14" t="s">
        <v>51</v>
      </c>
      <c r="F112" s="35">
        <v>2700</v>
      </c>
    </row>
    <row r="113" spans="1:6" s="2" customFormat="1" ht="13.5">
      <c r="A113" s="24" t="s">
        <v>257</v>
      </c>
      <c r="B113" s="41" t="s">
        <v>139</v>
      </c>
      <c r="C113" s="14"/>
      <c r="D113" s="14"/>
      <c r="E113" s="14"/>
      <c r="F113" s="40">
        <f>SUM(F114+F117+F119+F124)</f>
        <v>42340150</v>
      </c>
    </row>
    <row r="114" spans="1:6" s="2" customFormat="1" ht="13.5">
      <c r="A114" s="15" t="s">
        <v>60</v>
      </c>
      <c r="B114" s="14" t="s">
        <v>278</v>
      </c>
      <c r="C114" s="14"/>
      <c r="D114" s="14"/>
      <c r="E114" s="14"/>
      <c r="F114" s="35">
        <f>SUM(F115:F116)</f>
        <v>1252100</v>
      </c>
    </row>
    <row r="115" spans="1:6" s="2" customFormat="1" ht="38.25" customHeight="1">
      <c r="A115" s="17" t="s">
        <v>411</v>
      </c>
      <c r="B115" s="14" t="s">
        <v>279</v>
      </c>
      <c r="C115" s="14" t="s">
        <v>39</v>
      </c>
      <c r="D115" s="14" t="s">
        <v>36</v>
      </c>
      <c r="E115" s="14" t="s">
        <v>48</v>
      </c>
      <c r="F115" s="35">
        <f>861200+260100</f>
        <v>1121300</v>
      </c>
    </row>
    <row r="116" spans="1:6" s="2" customFormat="1" ht="26.25" customHeight="1">
      <c r="A116" s="15" t="s">
        <v>162</v>
      </c>
      <c r="B116" s="14" t="s">
        <v>279</v>
      </c>
      <c r="C116" s="14" t="s">
        <v>39</v>
      </c>
      <c r="D116" s="14" t="s">
        <v>36</v>
      </c>
      <c r="E116" s="14" t="s">
        <v>49</v>
      </c>
      <c r="F116" s="35">
        <v>130800</v>
      </c>
    </row>
    <row r="117" spans="1:6" s="2" customFormat="1" ht="12.75" customHeight="1">
      <c r="A117" s="18" t="s">
        <v>94</v>
      </c>
      <c r="B117" s="14" t="s">
        <v>280</v>
      </c>
      <c r="C117" s="14"/>
      <c r="D117" s="14"/>
      <c r="E117" s="14"/>
      <c r="F117" s="35">
        <f>SUM(F118)</f>
        <v>3950600</v>
      </c>
    </row>
    <row r="118" spans="1:6" s="2" customFormat="1" ht="36" customHeight="1">
      <c r="A118" s="23" t="s">
        <v>2</v>
      </c>
      <c r="B118" s="14" t="s">
        <v>281</v>
      </c>
      <c r="C118" s="14" t="s">
        <v>39</v>
      </c>
      <c r="D118" s="14" t="s">
        <v>35</v>
      </c>
      <c r="E118" s="14" t="s">
        <v>52</v>
      </c>
      <c r="F118" s="35">
        <v>3950600</v>
      </c>
    </row>
    <row r="119" spans="1:6" s="2" customFormat="1" ht="15" customHeight="1">
      <c r="A119" s="15" t="s">
        <v>138</v>
      </c>
      <c r="B119" s="14" t="s">
        <v>140</v>
      </c>
      <c r="C119" s="14"/>
      <c r="D119" s="14"/>
      <c r="E119" s="14"/>
      <c r="F119" s="35">
        <f>SUM(F120:F123)</f>
        <v>14897800</v>
      </c>
    </row>
    <row r="120" spans="1:6" s="3" customFormat="1" ht="36" customHeight="1">
      <c r="A120" s="18" t="s">
        <v>3</v>
      </c>
      <c r="B120" s="14" t="s">
        <v>276</v>
      </c>
      <c r="C120" s="14" t="s">
        <v>39</v>
      </c>
      <c r="D120" s="14" t="s">
        <v>35</v>
      </c>
      <c r="E120" s="14" t="s">
        <v>52</v>
      </c>
      <c r="F120" s="35">
        <v>3616800</v>
      </c>
    </row>
    <row r="121" spans="1:6" s="2" customFormat="1" ht="60" customHeight="1">
      <c r="A121" s="23" t="s">
        <v>6</v>
      </c>
      <c r="B121" s="14" t="s">
        <v>277</v>
      </c>
      <c r="C121" s="14" t="s">
        <v>39</v>
      </c>
      <c r="D121" s="14" t="s">
        <v>35</v>
      </c>
      <c r="E121" s="14" t="s">
        <v>52</v>
      </c>
      <c r="F121" s="35">
        <f>10827266+153734</f>
        <v>10981000</v>
      </c>
    </row>
    <row r="122" spans="1:6" s="6" customFormat="1" ht="25.5">
      <c r="A122" s="15" t="s">
        <v>165</v>
      </c>
      <c r="B122" s="14" t="s">
        <v>141</v>
      </c>
      <c r="C122" s="14" t="s">
        <v>39</v>
      </c>
      <c r="D122" s="14" t="s">
        <v>36</v>
      </c>
      <c r="E122" s="14" t="s">
        <v>49</v>
      </c>
      <c r="F122" s="35">
        <v>250000</v>
      </c>
    </row>
    <row r="123" spans="1:6" s="2" customFormat="1" ht="25.5">
      <c r="A123" s="18" t="s">
        <v>10</v>
      </c>
      <c r="B123" s="14" t="s">
        <v>141</v>
      </c>
      <c r="C123" s="14" t="s">
        <v>39</v>
      </c>
      <c r="D123" s="14" t="s">
        <v>36</v>
      </c>
      <c r="E123" s="14" t="s">
        <v>52</v>
      </c>
      <c r="F123" s="35">
        <v>50000</v>
      </c>
    </row>
    <row r="124" spans="1:6" s="2" customFormat="1" ht="13.5">
      <c r="A124" s="20" t="s">
        <v>46</v>
      </c>
      <c r="B124" s="14" t="s">
        <v>274</v>
      </c>
      <c r="C124" s="14"/>
      <c r="D124" s="14"/>
      <c r="E124" s="14"/>
      <c r="F124" s="35">
        <f>SUM(F125:F127)</f>
        <v>22239650</v>
      </c>
    </row>
    <row r="125" spans="1:6" s="2" customFormat="1" ht="59.25" customHeight="1">
      <c r="A125" s="17" t="s">
        <v>409</v>
      </c>
      <c r="B125" s="14" t="s">
        <v>275</v>
      </c>
      <c r="C125" s="14" t="s">
        <v>41</v>
      </c>
      <c r="D125" s="14" t="s">
        <v>34</v>
      </c>
      <c r="E125" s="14" t="s">
        <v>48</v>
      </c>
      <c r="F125" s="35">
        <f>12482400+2760+3769670</f>
        <v>16254830</v>
      </c>
    </row>
    <row r="126" spans="1:6" s="2" customFormat="1" ht="38.25">
      <c r="A126" s="15" t="s">
        <v>410</v>
      </c>
      <c r="B126" s="14" t="s">
        <v>275</v>
      </c>
      <c r="C126" s="14" t="s">
        <v>41</v>
      </c>
      <c r="D126" s="14" t="s">
        <v>34</v>
      </c>
      <c r="E126" s="14" t="s">
        <v>49</v>
      </c>
      <c r="F126" s="35">
        <f>397700+5049840</f>
        <v>5447540</v>
      </c>
    </row>
    <row r="127" spans="1:6" s="2" customFormat="1" ht="38.25">
      <c r="A127" s="15" t="s">
        <v>16</v>
      </c>
      <c r="B127" s="14" t="s">
        <v>275</v>
      </c>
      <c r="C127" s="14" t="s">
        <v>41</v>
      </c>
      <c r="D127" s="14" t="s">
        <v>34</v>
      </c>
      <c r="E127" s="14" t="s">
        <v>51</v>
      </c>
      <c r="F127" s="35">
        <f>458500+78780</f>
        <v>537280</v>
      </c>
    </row>
    <row r="128" spans="1:6" s="2" customFormat="1" ht="25.5">
      <c r="A128" s="16" t="s">
        <v>258</v>
      </c>
      <c r="B128" s="41" t="s">
        <v>137</v>
      </c>
      <c r="C128" s="14"/>
      <c r="D128" s="14"/>
      <c r="E128" s="14"/>
      <c r="F128" s="40">
        <f>SUM(F129+F137+F139+F141+F168+F170)</f>
        <v>185004855</v>
      </c>
    </row>
    <row r="129" spans="1:6" s="2" customFormat="1" ht="13.5">
      <c r="A129" s="15" t="s">
        <v>60</v>
      </c>
      <c r="B129" s="14" t="s">
        <v>304</v>
      </c>
      <c r="C129" s="14"/>
      <c r="D129" s="14"/>
      <c r="E129" s="14"/>
      <c r="F129" s="35">
        <f>SUM(F130:F136)</f>
        <v>11782700</v>
      </c>
    </row>
    <row r="130" spans="1:6" s="2" customFormat="1" ht="51">
      <c r="A130" s="17" t="s">
        <v>147</v>
      </c>
      <c r="B130" s="14" t="s">
        <v>305</v>
      </c>
      <c r="C130" s="14" t="s">
        <v>39</v>
      </c>
      <c r="D130" s="14" t="s">
        <v>36</v>
      </c>
      <c r="E130" s="14" t="s">
        <v>48</v>
      </c>
      <c r="F130" s="35">
        <f>5255400+1380+1585720</f>
        <v>6842500</v>
      </c>
    </row>
    <row r="131" spans="1:6" s="2" customFormat="1" ht="25.5">
      <c r="A131" s="15" t="s">
        <v>167</v>
      </c>
      <c r="B131" s="14" t="s">
        <v>305</v>
      </c>
      <c r="C131" s="14" t="s">
        <v>39</v>
      </c>
      <c r="D131" s="14" t="s">
        <v>36</v>
      </c>
      <c r="E131" s="14" t="s">
        <v>49</v>
      </c>
      <c r="F131" s="35">
        <f>519598+698602</f>
        <v>1218200</v>
      </c>
    </row>
    <row r="132" spans="1:6" s="2" customFormat="1" ht="25.5">
      <c r="A132" s="15" t="s">
        <v>17</v>
      </c>
      <c r="B132" s="14" t="s">
        <v>305</v>
      </c>
      <c r="C132" s="14" t="s">
        <v>39</v>
      </c>
      <c r="D132" s="14" t="s">
        <v>36</v>
      </c>
      <c r="E132" s="14" t="s">
        <v>51</v>
      </c>
      <c r="F132" s="35">
        <v>8000</v>
      </c>
    </row>
    <row r="133" spans="1:6" s="2" customFormat="1" ht="51">
      <c r="A133" s="17" t="s">
        <v>65</v>
      </c>
      <c r="B133" s="14" t="s">
        <v>306</v>
      </c>
      <c r="C133" s="14" t="s">
        <v>39</v>
      </c>
      <c r="D133" s="14" t="s">
        <v>36</v>
      </c>
      <c r="E133" s="14" t="s">
        <v>48</v>
      </c>
      <c r="F133" s="35">
        <f>1550000+465300</f>
        <v>2015300</v>
      </c>
    </row>
    <row r="134" spans="1:6" s="2" customFormat="1" ht="37.5" customHeight="1">
      <c r="A134" s="17" t="s">
        <v>66</v>
      </c>
      <c r="B134" s="14" t="s">
        <v>306</v>
      </c>
      <c r="C134" s="14" t="s">
        <v>39</v>
      </c>
      <c r="D134" s="14" t="s">
        <v>36</v>
      </c>
      <c r="E134" s="14" t="s">
        <v>49</v>
      </c>
      <c r="F134" s="35">
        <v>75000</v>
      </c>
    </row>
    <row r="135" spans="1:6" s="2" customFormat="1" ht="51">
      <c r="A135" s="17" t="s">
        <v>389</v>
      </c>
      <c r="B135" s="14" t="s">
        <v>307</v>
      </c>
      <c r="C135" s="14" t="s">
        <v>39</v>
      </c>
      <c r="D135" s="14" t="s">
        <v>36</v>
      </c>
      <c r="E135" s="14" t="s">
        <v>48</v>
      </c>
      <c r="F135" s="35">
        <f>1041600+314500</f>
        <v>1356100</v>
      </c>
    </row>
    <row r="136" spans="1:6" s="2" customFormat="1" ht="25.5">
      <c r="A136" s="15" t="s">
        <v>168</v>
      </c>
      <c r="B136" s="14" t="s">
        <v>307</v>
      </c>
      <c r="C136" s="14" t="s">
        <v>39</v>
      </c>
      <c r="D136" s="14" t="s">
        <v>36</v>
      </c>
      <c r="E136" s="14" t="s">
        <v>49</v>
      </c>
      <c r="F136" s="35">
        <v>267600</v>
      </c>
    </row>
    <row r="137" spans="1:6" s="2" customFormat="1" ht="13.5">
      <c r="A137" s="21" t="s">
        <v>24</v>
      </c>
      <c r="B137" s="14" t="s">
        <v>308</v>
      </c>
      <c r="C137" s="14"/>
      <c r="D137" s="14"/>
      <c r="E137" s="14"/>
      <c r="F137" s="35">
        <f>SUM(F138)</f>
        <v>75000</v>
      </c>
    </row>
    <row r="138" spans="1:6" s="2" customFormat="1" ht="25.5">
      <c r="A138" s="15" t="s">
        <v>390</v>
      </c>
      <c r="B138" s="14" t="s">
        <v>309</v>
      </c>
      <c r="C138" s="14" t="s">
        <v>39</v>
      </c>
      <c r="D138" s="14" t="s">
        <v>36</v>
      </c>
      <c r="E138" s="14" t="s">
        <v>49</v>
      </c>
      <c r="F138" s="35">
        <v>75000</v>
      </c>
    </row>
    <row r="139" spans="1:6" s="2" customFormat="1" ht="19.5" customHeight="1">
      <c r="A139" s="21" t="s">
        <v>47</v>
      </c>
      <c r="B139" s="14" t="s">
        <v>282</v>
      </c>
      <c r="C139" s="14"/>
      <c r="D139" s="14"/>
      <c r="E139" s="14"/>
      <c r="F139" s="35">
        <f>SUM(F140)</f>
        <v>12730680</v>
      </c>
    </row>
    <row r="140" spans="1:6" s="2" customFormat="1" ht="45.75" customHeight="1">
      <c r="A140" s="15" t="s">
        <v>160</v>
      </c>
      <c r="B140" s="14" t="s">
        <v>283</v>
      </c>
      <c r="C140" s="14" t="s">
        <v>39</v>
      </c>
      <c r="D140" s="14" t="s">
        <v>34</v>
      </c>
      <c r="E140" s="14" t="s">
        <v>53</v>
      </c>
      <c r="F140" s="35">
        <v>12730680</v>
      </c>
    </row>
    <row r="141" spans="1:6" s="2" customFormat="1" ht="13.5">
      <c r="A141" s="15" t="s">
        <v>138</v>
      </c>
      <c r="B141" s="14" t="s">
        <v>284</v>
      </c>
      <c r="C141" s="14"/>
      <c r="D141" s="14"/>
      <c r="E141" s="14"/>
      <c r="F141" s="35">
        <f>SUM(F142:F167)</f>
        <v>154669100</v>
      </c>
    </row>
    <row r="142" spans="1:6" s="2" customFormat="1" ht="27.75" customHeight="1">
      <c r="A142" s="18" t="s">
        <v>170</v>
      </c>
      <c r="B142" s="14" t="s">
        <v>285</v>
      </c>
      <c r="C142" s="14" t="s">
        <v>39</v>
      </c>
      <c r="D142" s="14" t="s">
        <v>33</v>
      </c>
      <c r="E142" s="14" t="s">
        <v>52</v>
      </c>
      <c r="F142" s="35">
        <f>38448900+600000</f>
        <v>39048900</v>
      </c>
    </row>
    <row r="143" spans="1:6" s="2" customFormat="1" ht="41.25" customHeight="1">
      <c r="A143" s="18" t="s">
        <v>171</v>
      </c>
      <c r="B143" s="14" t="s">
        <v>286</v>
      </c>
      <c r="C143" s="14" t="s">
        <v>39</v>
      </c>
      <c r="D143" s="14" t="s">
        <v>33</v>
      </c>
      <c r="E143" s="14" t="s">
        <v>52</v>
      </c>
      <c r="F143" s="35">
        <f>1814100+30000</f>
        <v>1844100</v>
      </c>
    </row>
    <row r="144" spans="1:6" s="2" customFormat="1" ht="25.5">
      <c r="A144" s="18" t="s">
        <v>172</v>
      </c>
      <c r="B144" s="14" t="s">
        <v>287</v>
      </c>
      <c r="C144" s="14" t="s">
        <v>39</v>
      </c>
      <c r="D144" s="14" t="s">
        <v>33</v>
      </c>
      <c r="E144" s="14" t="s">
        <v>52</v>
      </c>
      <c r="F144" s="35">
        <f>25292700+400000</f>
        <v>25692700</v>
      </c>
    </row>
    <row r="145" spans="1:6" s="2" customFormat="1" ht="38.25">
      <c r="A145" s="18" t="s">
        <v>0</v>
      </c>
      <c r="B145" s="14" t="s">
        <v>288</v>
      </c>
      <c r="C145" s="14" t="s">
        <v>39</v>
      </c>
      <c r="D145" s="14" t="s">
        <v>33</v>
      </c>
      <c r="E145" s="14" t="s">
        <v>52</v>
      </c>
      <c r="F145" s="35">
        <v>227800</v>
      </c>
    </row>
    <row r="146" spans="1:6" s="2" customFormat="1" ht="38.25">
      <c r="A146" s="18" t="s">
        <v>1</v>
      </c>
      <c r="B146" s="14" t="s">
        <v>289</v>
      </c>
      <c r="C146" s="14" t="s">
        <v>39</v>
      </c>
      <c r="D146" s="14" t="s">
        <v>33</v>
      </c>
      <c r="E146" s="14" t="s">
        <v>52</v>
      </c>
      <c r="F146" s="35">
        <f>44600+700</f>
        <v>45300</v>
      </c>
    </row>
    <row r="147" spans="1:6" s="5" customFormat="1" ht="52.5" customHeight="1">
      <c r="A147" s="17" t="s">
        <v>381</v>
      </c>
      <c r="B147" s="14" t="s">
        <v>290</v>
      </c>
      <c r="C147" s="14" t="s">
        <v>39</v>
      </c>
      <c r="D147" s="14" t="s">
        <v>33</v>
      </c>
      <c r="E147" s="14" t="s">
        <v>49</v>
      </c>
      <c r="F147" s="35">
        <v>37753.88</v>
      </c>
    </row>
    <row r="148" spans="1:6" s="2" customFormat="1" ht="50.25" customHeight="1">
      <c r="A148" s="23" t="s">
        <v>382</v>
      </c>
      <c r="B148" s="14" t="s">
        <v>290</v>
      </c>
      <c r="C148" s="14" t="s">
        <v>39</v>
      </c>
      <c r="D148" s="14" t="s">
        <v>33</v>
      </c>
      <c r="E148" s="14" t="s">
        <v>52</v>
      </c>
      <c r="F148" s="35">
        <f>438500+22746.12</f>
        <v>461246.12</v>
      </c>
    </row>
    <row r="149" spans="1:6" s="2" customFormat="1" ht="31.5" customHeight="1">
      <c r="A149" s="18" t="s">
        <v>4</v>
      </c>
      <c r="B149" s="14" t="s">
        <v>291</v>
      </c>
      <c r="C149" s="14" t="s">
        <v>39</v>
      </c>
      <c r="D149" s="14" t="s">
        <v>33</v>
      </c>
      <c r="E149" s="14" t="s">
        <v>52</v>
      </c>
      <c r="F149" s="35">
        <f>9407341+143259</f>
        <v>9550600</v>
      </c>
    </row>
    <row r="150" spans="1:6" s="2" customFormat="1" ht="36.75" customHeight="1">
      <c r="A150" s="18" t="s">
        <v>5</v>
      </c>
      <c r="B150" s="14" t="s">
        <v>292</v>
      </c>
      <c r="C150" s="14" t="s">
        <v>39</v>
      </c>
      <c r="D150" s="14" t="s">
        <v>33</v>
      </c>
      <c r="E150" s="14" t="s">
        <v>52</v>
      </c>
      <c r="F150" s="35">
        <f>1229970+18730</f>
        <v>1248700</v>
      </c>
    </row>
    <row r="151" spans="1:6" s="3" customFormat="1" ht="36.75" customHeight="1">
      <c r="A151" s="23" t="s">
        <v>7</v>
      </c>
      <c r="B151" s="14" t="s">
        <v>293</v>
      </c>
      <c r="C151" s="14" t="s">
        <v>39</v>
      </c>
      <c r="D151" s="14" t="s">
        <v>33</v>
      </c>
      <c r="E151" s="14" t="s">
        <v>52</v>
      </c>
      <c r="F151" s="35">
        <f>1767287+26913</f>
        <v>1794200</v>
      </c>
    </row>
    <row r="152" spans="1:6" s="2" customFormat="1" ht="27" customHeight="1">
      <c r="A152" s="18" t="s">
        <v>465</v>
      </c>
      <c r="B152" s="14" t="s">
        <v>294</v>
      </c>
      <c r="C152" s="14" t="s">
        <v>39</v>
      </c>
      <c r="D152" s="14" t="s">
        <v>33</v>
      </c>
      <c r="E152" s="14" t="s">
        <v>52</v>
      </c>
      <c r="F152" s="35">
        <v>17648500</v>
      </c>
    </row>
    <row r="153" spans="1:6" s="2" customFormat="1" ht="41.25" customHeight="1">
      <c r="A153" s="15" t="s">
        <v>20</v>
      </c>
      <c r="B153" s="14" t="s">
        <v>295</v>
      </c>
      <c r="C153" s="14" t="s">
        <v>39</v>
      </c>
      <c r="D153" s="14" t="s">
        <v>33</v>
      </c>
      <c r="E153" s="14" t="s">
        <v>49</v>
      </c>
      <c r="F153" s="35">
        <v>9000</v>
      </c>
    </row>
    <row r="154" spans="1:6" s="2" customFormat="1" ht="39" customHeight="1">
      <c r="A154" s="18" t="s">
        <v>19</v>
      </c>
      <c r="B154" s="14" t="s">
        <v>295</v>
      </c>
      <c r="C154" s="14" t="s">
        <v>39</v>
      </c>
      <c r="D154" s="14" t="s">
        <v>33</v>
      </c>
      <c r="E154" s="14" t="s">
        <v>52</v>
      </c>
      <c r="F154" s="35">
        <f>598900</f>
        <v>598900</v>
      </c>
    </row>
    <row r="155" spans="1:6" s="2" customFormat="1" ht="39.75" customHeight="1">
      <c r="A155" s="18" t="s">
        <v>383</v>
      </c>
      <c r="B155" s="14" t="s">
        <v>296</v>
      </c>
      <c r="C155" s="14" t="s">
        <v>39</v>
      </c>
      <c r="D155" s="14" t="s">
        <v>33</v>
      </c>
      <c r="E155" s="14" t="s">
        <v>52</v>
      </c>
      <c r="F155" s="35">
        <v>3263100</v>
      </c>
    </row>
    <row r="156" spans="1:6" s="2" customFormat="1" ht="28.5" customHeight="1">
      <c r="A156" s="18" t="s">
        <v>15</v>
      </c>
      <c r="B156" s="14" t="s">
        <v>297</v>
      </c>
      <c r="C156" s="14" t="s">
        <v>39</v>
      </c>
      <c r="D156" s="14" t="s">
        <v>33</v>
      </c>
      <c r="E156" s="14" t="s">
        <v>52</v>
      </c>
      <c r="F156" s="35">
        <f>29565000+300000</f>
        <v>29865000</v>
      </c>
    </row>
    <row r="157" spans="1:6" s="2" customFormat="1" ht="66.75" customHeight="1">
      <c r="A157" s="23" t="s">
        <v>483</v>
      </c>
      <c r="B157" s="14" t="s">
        <v>482</v>
      </c>
      <c r="C157" s="14" t="s">
        <v>39</v>
      </c>
      <c r="D157" s="14" t="s">
        <v>33</v>
      </c>
      <c r="E157" s="14" t="s">
        <v>52</v>
      </c>
      <c r="F157" s="35">
        <v>3000</v>
      </c>
    </row>
    <row r="158" spans="1:6" s="2" customFormat="1" ht="77.25" customHeight="1">
      <c r="A158" s="23" t="s">
        <v>8</v>
      </c>
      <c r="B158" s="14" t="s">
        <v>298</v>
      </c>
      <c r="C158" s="14" t="s">
        <v>39</v>
      </c>
      <c r="D158" s="14" t="s">
        <v>33</v>
      </c>
      <c r="E158" s="14" t="s">
        <v>52</v>
      </c>
      <c r="F158" s="35">
        <v>18365100</v>
      </c>
    </row>
    <row r="159" spans="1:6" s="2" customFormat="1" ht="42" customHeight="1">
      <c r="A159" s="23" t="s">
        <v>384</v>
      </c>
      <c r="B159" s="14" t="s">
        <v>299</v>
      </c>
      <c r="C159" s="14" t="s">
        <v>39</v>
      </c>
      <c r="D159" s="14" t="s">
        <v>33</v>
      </c>
      <c r="E159" s="14" t="s">
        <v>52</v>
      </c>
      <c r="F159" s="35">
        <f>392000+7000</f>
        <v>399000</v>
      </c>
    </row>
    <row r="160" spans="1:6" s="2" customFormat="1" ht="27" customHeight="1">
      <c r="A160" s="18" t="s">
        <v>385</v>
      </c>
      <c r="B160" s="14" t="s">
        <v>300</v>
      </c>
      <c r="C160" s="14" t="s">
        <v>39</v>
      </c>
      <c r="D160" s="14" t="s">
        <v>33</v>
      </c>
      <c r="E160" s="14" t="s">
        <v>52</v>
      </c>
      <c r="F160" s="35">
        <f>254400+4000</f>
        <v>258400</v>
      </c>
    </row>
    <row r="161" spans="1:6" s="2" customFormat="1" ht="54.75" customHeight="1">
      <c r="A161" s="23" t="s">
        <v>386</v>
      </c>
      <c r="B161" s="14" t="s">
        <v>301</v>
      </c>
      <c r="C161" s="14" t="s">
        <v>39</v>
      </c>
      <c r="D161" s="14" t="s">
        <v>33</v>
      </c>
      <c r="E161" s="14" t="s">
        <v>52</v>
      </c>
      <c r="F161" s="35">
        <v>192600</v>
      </c>
    </row>
    <row r="162" spans="1:6" s="2" customFormat="1" ht="21.75" customHeight="1">
      <c r="A162" s="18" t="s">
        <v>11</v>
      </c>
      <c r="B162" s="14" t="s">
        <v>310</v>
      </c>
      <c r="C162" s="14" t="s">
        <v>39</v>
      </c>
      <c r="D162" s="14" t="s">
        <v>36</v>
      </c>
      <c r="E162" s="14" t="s">
        <v>52</v>
      </c>
      <c r="F162" s="35">
        <f>756000+462000</f>
        <v>1218000</v>
      </c>
    </row>
    <row r="163" spans="1:6" s="2" customFormat="1" ht="19.5" customHeight="1">
      <c r="A163" s="18" t="s">
        <v>12</v>
      </c>
      <c r="B163" s="14" t="s">
        <v>311</v>
      </c>
      <c r="C163" s="14" t="s">
        <v>39</v>
      </c>
      <c r="D163" s="14" t="s">
        <v>36</v>
      </c>
      <c r="E163" s="14" t="s">
        <v>52</v>
      </c>
      <c r="F163" s="35">
        <v>310000</v>
      </c>
    </row>
    <row r="164" spans="1:6" s="2" customFormat="1" ht="27.75" customHeight="1">
      <c r="A164" s="15" t="s">
        <v>166</v>
      </c>
      <c r="B164" s="14" t="s">
        <v>312</v>
      </c>
      <c r="C164" s="14" t="s">
        <v>39</v>
      </c>
      <c r="D164" s="14" t="s">
        <v>36</v>
      </c>
      <c r="E164" s="14" t="s">
        <v>49</v>
      </c>
      <c r="F164" s="35">
        <v>99000</v>
      </c>
    </row>
    <row r="165" spans="1:6" s="2" customFormat="1" ht="15.75" customHeight="1">
      <c r="A165" s="18" t="s">
        <v>13</v>
      </c>
      <c r="B165" s="14" t="s">
        <v>313</v>
      </c>
      <c r="C165" s="14" t="s">
        <v>39</v>
      </c>
      <c r="D165" s="14" t="s">
        <v>36</v>
      </c>
      <c r="E165" s="14" t="s">
        <v>52</v>
      </c>
      <c r="F165" s="35">
        <v>15000</v>
      </c>
    </row>
    <row r="166" spans="1:6" s="2" customFormat="1" ht="27" customHeight="1">
      <c r="A166" s="18" t="s">
        <v>14</v>
      </c>
      <c r="B166" s="14" t="s">
        <v>314</v>
      </c>
      <c r="C166" s="14" t="s">
        <v>39</v>
      </c>
      <c r="D166" s="14" t="s">
        <v>36</v>
      </c>
      <c r="E166" s="14" t="s">
        <v>52</v>
      </c>
      <c r="F166" s="35">
        <v>70000</v>
      </c>
    </row>
    <row r="167" spans="1:6" s="2" customFormat="1" ht="27" customHeight="1">
      <c r="A167" s="18" t="s">
        <v>485</v>
      </c>
      <c r="B167" s="14" t="s">
        <v>484</v>
      </c>
      <c r="C167" s="14" t="s">
        <v>39</v>
      </c>
      <c r="D167" s="14" t="s">
        <v>33</v>
      </c>
      <c r="E167" s="14" t="s">
        <v>52</v>
      </c>
      <c r="F167" s="35">
        <v>2403200</v>
      </c>
    </row>
    <row r="168" spans="1:6" s="2" customFormat="1" ht="16.5" customHeight="1">
      <c r="A168" s="15" t="s">
        <v>50</v>
      </c>
      <c r="B168" s="14" t="s">
        <v>315</v>
      </c>
      <c r="C168" s="14"/>
      <c r="D168" s="14"/>
      <c r="E168" s="14"/>
      <c r="F168" s="35">
        <f>SUM(F169)</f>
        <v>60000</v>
      </c>
    </row>
    <row r="169" spans="1:6" s="2" customFormat="1" ht="33.75" customHeight="1">
      <c r="A169" s="15" t="s">
        <v>67</v>
      </c>
      <c r="B169" s="14" t="s">
        <v>316</v>
      </c>
      <c r="C169" s="14" t="s">
        <v>39</v>
      </c>
      <c r="D169" s="14" t="s">
        <v>36</v>
      </c>
      <c r="E169" s="14" t="s">
        <v>51</v>
      </c>
      <c r="F169" s="35">
        <v>60000</v>
      </c>
    </row>
    <row r="170" spans="1:6" s="2" customFormat="1" ht="24.75" customHeight="1">
      <c r="A170" s="18" t="s">
        <v>136</v>
      </c>
      <c r="B170" s="14" t="s">
        <v>302</v>
      </c>
      <c r="C170" s="14"/>
      <c r="D170" s="14"/>
      <c r="E170" s="14"/>
      <c r="F170" s="35">
        <f>SUM(F171)</f>
        <v>5687375</v>
      </c>
    </row>
    <row r="171" spans="1:6" s="3" customFormat="1" ht="27" customHeight="1">
      <c r="A171" s="18" t="s">
        <v>387</v>
      </c>
      <c r="B171" s="14" t="s">
        <v>303</v>
      </c>
      <c r="C171" s="14" t="s">
        <v>39</v>
      </c>
      <c r="D171" s="14" t="s">
        <v>33</v>
      </c>
      <c r="E171" s="14" t="s">
        <v>52</v>
      </c>
      <c r="F171" s="35">
        <f>5000000+687375</f>
        <v>5687375</v>
      </c>
    </row>
    <row r="172" spans="1:6" s="3" customFormat="1" ht="25.5">
      <c r="A172" s="16" t="s">
        <v>259</v>
      </c>
      <c r="B172" s="41" t="s">
        <v>123</v>
      </c>
      <c r="C172" s="14"/>
      <c r="D172" s="14"/>
      <c r="E172" s="14"/>
      <c r="F172" s="40">
        <f>F173</f>
        <v>2810000</v>
      </c>
    </row>
    <row r="173" spans="1:6" s="3" customFormat="1" ht="13.5">
      <c r="A173" s="15" t="s">
        <v>24</v>
      </c>
      <c r="B173" s="14" t="s">
        <v>124</v>
      </c>
      <c r="C173" s="14"/>
      <c r="D173" s="14"/>
      <c r="E173" s="14"/>
      <c r="F173" s="35">
        <f>SUM(F174)+F175</f>
        <v>2810000</v>
      </c>
    </row>
    <row r="174" spans="1:6" s="2" customFormat="1" ht="38.25">
      <c r="A174" s="15" t="s">
        <v>125</v>
      </c>
      <c r="B174" s="14" t="s">
        <v>133</v>
      </c>
      <c r="C174" s="14" t="s">
        <v>35</v>
      </c>
      <c r="D174" s="14" t="s">
        <v>42</v>
      </c>
      <c r="E174" s="14" t="s">
        <v>49</v>
      </c>
      <c r="F174" s="35">
        <v>200000</v>
      </c>
    </row>
    <row r="175" spans="1:6" s="2" customFormat="1" ht="30.75" customHeight="1">
      <c r="A175" s="15" t="s">
        <v>203</v>
      </c>
      <c r="B175" s="14" t="s">
        <v>190</v>
      </c>
      <c r="C175" s="14" t="s">
        <v>35</v>
      </c>
      <c r="D175" s="14" t="s">
        <v>42</v>
      </c>
      <c r="E175" s="14" t="s">
        <v>49</v>
      </c>
      <c r="F175" s="35">
        <f>3480000-870000</f>
        <v>2610000</v>
      </c>
    </row>
    <row r="176" spans="1:6" s="2" customFormat="1" ht="29.25" customHeight="1">
      <c r="A176" s="16" t="s">
        <v>266</v>
      </c>
      <c r="B176" s="41" t="s">
        <v>317</v>
      </c>
      <c r="C176" s="14"/>
      <c r="D176" s="14"/>
      <c r="E176" s="14"/>
      <c r="F176" s="40">
        <f>F177+F181</f>
        <v>10328760</v>
      </c>
    </row>
    <row r="177" spans="1:16" s="2" customFormat="1" ht="13.5">
      <c r="A177" s="15" t="s">
        <v>60</v>
      </c>
      <c r="B177" s="14" t="s">
        <v>318</v>
      </c>
      <c r="C177" s="14"/>
      <c r="D177" s="14"/>
      <c r="E177" s="14"/>
      <c r="F177" s="35">
        <f>SUM(F178:F180)</f>
        <v>10323760.7</v>
      </c>
      <c r="I177" s="26"/>
      <c r="J177" s="26"/>
      <c r="K177" s="26"/>
      <c r="L177" s="26"/>
      <c r="M177" s="26"/>
      <c r="N177" s="27"/>
      <c r="O177" s="28"/>
      <c r="P177" s="32"/>
    </row>
    <row r="178" spans="1:6" s="2" customFormat="1" ht="51">
      <c r="A178" s="17" t="s">
        <v>65</v>
      </c>
      <c r="B178" s="14" t="s">
        <v>319</v>
      </c>
      <c r="C178" s="14" t="s">
        <v>32</v>
      </c>
      <c r="D178" s="14" t="s">
        <v>36</v>
      </c>
      <c r="E178" s="14" t="s">
        <v>48</v>
      </c>
      <c r="F178" s="35">
        <f>6273672+5070+1894630</f>
        <v>8173372</v>
      </c>
    </row>
    <row r="179" spans="1:6" s="2" customFormat="1" ht="38.25" customHeight="1">
      <c r="A179" s="15" t="s">
        <v>66</v>
      </c>
      <c r="B179" s="14" t="s">
        <v>319</v>
      </c>
      <c r="C179" s="14" t="s">
        <v>32</v>
      </c>
      <c r="D179" s="14" t="s">
        <v>36</v>
      </c>
      <c r="E179" s="14" t="s">
        <v>49</v>
      </c>
      <c r="F179" s="35">
        <f>383020.7+155488</f>
        <v>538508.7</v>
      </c>
    </row>
    <row r="180" spans="1:6" s="2" customFormat="1" ht="25.5">
      <c r="A180" s="15" t="s">
        <v>412</v>
      </c>
      <c r="B180" s="14" t="s">
        <v>320</v>
      </c>
      <c r="C180" s="14" t="s">
        <v>32</v>
      </c>
      <c r="D180" s="14" t="s">
        <v>36</v>
      </c>
      <c r="E180" s="14" t="s">
        <v>49</v>
      </c>
      <c r="F180" s="35">
        <v>1611880</v>
      </c>
    </row>
    <row r="181" spans="1:6" s="2" customFormat="1" ht="13.5">
      <c r="A181" s="15" t="s">
        <v>50</v>
      </c>
      <c r="B181" s="14" t="s">
        <v>321</v>
      </c>
      <c r="C181" s="14"/>
      <c r="D181" s="14"/>
      <c r="E181" s="14"/>
      <c r="F181" s="35">
        <f>F182</f>
        <v>4999.3</v>
      </c>
    </row>
    <row r="182" spans="1:6" s="2" customFormat="1" ht="23.25" customHeight="1">
      <c r="A182" s="15" t="s">
        <v>67</v>
      </c>
      <c r="B182" s="14" t="s">
        <v>322</v>
      </c>
      <c r="C182" s="14" t="s">
        <v>32</v>
      </c>
      <c r="D182" s="14" t="s">
        <v>36</v>
      </c>
      <c r="E182" s="14" t="s">
        <v>51</v>
      </c>
      <c r="F182" s="35">
        <v>4999.3</v>
      </c>
    </row>
    <row r="183" spans="1:6" s="2" customFormat="1" ht="28.5" customHeight="1">
      <c r="A183" s="19" t="s">
        <v>323</v>
      </c>
      <c r="B183" s="41" t="s">
        <v>95</v>
      </c>
      <c r="C183" s="14"/>
      <c r="D183" s="14"/>
      <c r="E183" s="14"/>
      <c r="F183" s="40">
        <f>F184+F188+F201</f>
        <v>39989771.38</v>
      </c>
    </row>
    <row r="184" spans="1:16" s="2" customFormat="1" ht="33.75" customHeight="1">
      <c r="A184" s="18" t="s">
        <v>93</v>
      </c>
      <c r="B184" s="14" t="s">
        <v>96</v>
      </c>
      <c r="C184" s="14"/>
      <c r="D184" s="14"/>
      <c r="E184" s="14"/>
      <c r="F184" s="35">
        <f>SUM(F185)</f>
        <v>969119</v>
      </c>
      <c r="I184" s="26"/>
      <c r="J184" s="26"/>
      <c r="K184" s="26"/>
      <c r="L184" s="26"/>
      <c r="M184" s="26"/>
      <c r="N184" s="27"/>
      <c r="O184" s="28"/>
      <c r="P184" s="29"/>
    </row>
    <row r="185" spans="1:18" s="2" customFormat="1" ht="14.25" customHeight="1">
      <c r="A185" s="18" t="s">
        <v>94</v>
      </c>
      <c r="B185" s="14" t="s">
        <v>97</v>
      </c>
      <c r="C185" s="14"/>
      <c r="D185" s="14"/>
      <c r="E185" s="14"/>
      <c r="F185" s="35">
        <f>SUM(F186:F187)</f>
        <v>969119</v>
      </c>
      <c r="I185" s="26"/>
      <c r="J185" s="26"/>
      <c r="K185" s="26"/>
      <c r="L185" s="26"/>
      <c r="M185" s="26"/>
      <c r="N185" s="34"/>
      <c r="O185" s="28"/>
      <c r="P185" s="29"/>
      <c r="Q185" s="31"/>
      <c r="R185" s="31"/>
    </row>
    <row r="186" spans="1:18" s="2" customFormat="1" ht="38.25" customHeight="1">
      <c r="A186" s="18" t="s">
        <v>487</v>
      </c>
      <c r="B186" s="14" t="s">
        <v>486</v>
      </c>
      <c r="C186" s="14" t="s">
        <v>39</v>
      </c>
      <c r="D186" s="14" t="s">
        <v>33</v>
      </c>
      <c r="E186" s="14" t="s">
        <v>52</v>
      </c>
      <c r="F186" s="35">
        <v>469119</v>
      </c>
      <c r="I186" s="26"/>
      <c r="J186" s="26"/>
      <c r="K186" s="26"/>
      <c r="L186" s="26"/>
      <c r="M186" s="26"/>
      <c r="N186" s="34"/>
      <c r="O186" s="28"/>
      <c r="P186" s="29"/>
      <c r="Q186" s="31"/>
      <c r="R186" s="31"/>
    </row>
    <row r="187" spans="1:17" s="2" customFormat="1" ht="40.5" customHeight="1">
      <c r="A187" s="18" t="s">
        <v>114</v>
      </c>
      <c r="B187" s="14" t="s">
        <v>466</v>
      </c>
      <c r="C187" s="14" t="s">
        <v>39</v>
      </c>
      <c r="D187" s="14" t="s">
        <v>33</v>
      </c>
      <c r="E187" s="14" t="s">
        <v>52</v>
      </c>
      <c r="F187" s="35">
        <v>500000</v>
      </c>
      <c r="I187" s="26"/>
      <c r="J187" s="26"/>
      <c r="K187" s="26"/>
      <c r="L187" s="26"/>
      <c r="M187" s="26"/>
      <c r="N187" s="27"/>
      <c r="O187" s="28"/>
      <c r="P187" s="29"/>
      <c r="Q187" s="31"/>
    </row>
    <row r="188" spans="1:16" s="2" customFormat="1" ht="13.5">
      <c r="A188" s="20" t="s">
        <v>127</v>
      </c>
      <c r="B188" s="14" t="s">
        <v>128</v>
      </c>
      <c r="C188" s="14"/>
      <c r="D188" s="14"/>
      <c r="E188" s="14"/>
      <c r="F188" s="35">
        <f>F189+F195</f>
        <v>34036174.2</v>
      </c>
      <c r="I188" s="26"/>
      <c r="J188" s="26"/>
      <c r="K188" s="26"/>
      <c r="L188" s="26"/>
      <c r="M188" s="26"/>
      <c r="N188" s="27"/>
      <c r="O188" s="28"/>
      <c r="P188" s="29"/>
    </row>
    <row r="189" spans="1:6" s="2" customFormat="1" ht="13.5">
      <c r="A189" s="18" t="s">
        <v>24</v>
      </c>
      <c r="B189" s="14" t="s">
        <v>176</v>
      </c>
      <c r="C189" s="14"/>
      <c r="D189" s="14"/>
      <c r="E189" s="14"/>
      <c r="F189" s="35">
        <f>SUM(F190:F194)</f>
        <v>14370793.2</v>
      </c>
    </row>
    <row r="190" spans="1:6" s="2" customFormat="1" ht="61.5" customHeight="1">
      <c r="A190" s="23" t="s">
        <v>489</v>
      </c>
      <c r="B190" s="14" t="s">
        <v>488</v>
      </c>
      <c r="C190" s="14" t="s">
        <v>40</v>
      </c>
      <c r="D190" s="14" t="s">
        <v>34</v>
      </c>
      <c r="E190" s="14" t="s">
        <v>49</v>
      </c>
      <c r="F190" s="35">
        <v>13000000</v>
      </c>
    </row>
    <row r="191" spans="1:6" s="2" customFormat="1" ht="26.25" customHeight="1">
      <c r="A191" s="23" t="s">
        <v>491</v>
      </c>
      <c r="B191" s="14" t="s">
        <v>490</v>
      </c>
      <c r="C191" s="14" t="s">
        <v>40</v>
      </c>
      <c r="D191" s="14" t="s">
        <v>34</v>
      </c>
      <c r="E191" s="14" t="s">
        <v>49</v>
      </c>
      <c r="F191" s="35">
        <v>77000</v>
      </c>
    </row>
    <row r="192" spans="1:6" s="2" customFormat="1" ht="25.5">
      <c r="A192" s="15" t="s">
        <v>413</v>
      </c>
      <c r="B192" s="14" t="s">
        <v>151</v>
      </c>
      <c r="C192" s="14" t="s">
        <v>40</v>
      </c>
      <c r="D192" s="14" t="s">
        <v>34</v>
      </c>
      <c r="E192" s="14" t="s">
        <v>49</v>
      </c>
      <c r="F192" s="35">
        <v>309403</v>
      </c>
    </row>
    <row r="193" spans="1:6" s="2" customFormat="1" ht="23.25" customHeight="1">
      <c r="A193" s="15" t="s">
        <v>174</v>
      </c>
      <c r="B193" s="14" t="s">
        <v>175</v>
      </c>
      <c r="C193" s="14" t="s">
        <v>40</v>
      </c>
      <c r="D193" s="14" t="s">
        <v>40</v>
      </c>
      <c r="E193" s="14" t="s">
        <v>49</v>
      </c>
      <c r="F193" s="35">
        <f>30000+300000+158624.2</f>
        <v>488624.2</v>
      </c>
    </row>
    <row r="194" spans="1:6" s="2" customFormat="1" ht="52.5" customHeight="1">
      <c r="A194" s="17" t="s">
        <v>493</v>
      </c>
      <c r="B194" s="14" t="s">
        <v>492</v>
      </c>
      <c r="C194" s="14" t="s">
        <v>40</v>
      </c>
      <c r="D194" s="14" t="s">
        <v>34</v>
      </c>
      <c r="E194" s="14" t="s">
        <v>49</v>
      </c>
      <c r="F194" s="35">
        <f>133597+166400+195769</f>
        <v>495766</v>
      </c>
    </row>
    <row r="195" spans="1:6" s="2" customFormat="1" ht="18.75" customHeight="1">
      <c r="A195" s="15" t="s">
        <v>82</v>
      </c>
      <c r="B195" s="14" t="s">
        <v>105</v>
      </c>
      <c r="C195" s="14"/>
      <c r="D195" s="14"/>
      <c r="E195" s="14"/>
      <c r="F195" s="35">
        <f>SUM(F196:F200)</f>
        <v>19665381</v>
      </c>
    </row>
    <row r="196" spans="1:6" s="2" customFormat="1" ht="33.75" customHeight="1">
      <c r="A196" s="15" t="s">
        <v>508</v>
      </c>
      <c r="B196" s="14" t="s">
        <v>507</v>
      </c>
      <c r="C196" s="14" t="s">
        <v>40</v>
      </c>
      <c r="D196" s="14" t="s">
        <v>40</v>
      </c>
      <c r="E196" s="14" t="s">
        <v>86</v>
      </c>
      <c r="F196" s="35">
        <v>16000000</v>
      </c>
    </row>
    <row r="197" spans="1:6" s="2" customFormat="1" ht="33.75" customHeight="1">
      <c r="A197" s="15" t="s">
        <v>513</v>
      </c>
      <c r="B197" s="14" t="s">
        <v>512</v>
      </c>
      <c r="C197" s="14" t="s">
        <v>40</v>
      </c>
      <c r="D197" s="14" t="s">
        <v>34</v>
      </c>
      <c r="E197" s="14" t="s">
        <v>86</v>
      </c>
      <c r="F197" s="35">
        <v>1115726</v>
      </c>
    </row>
    <row r="198" spans="1:6" s="2" customFormat="1" ht="30" customHeight="1">
      <c r="A198" s="15" t="s">
        <v>191</v>
      </c>
      <c r="B198" s="14" t="s">
        <v>506</v>
      </c>
      <c r="C198" s="14" t="s">
        <v>40</v>
      </c>
      <c r="D198" s="14" t="s">
        <v>40</v>
      </c>
      <c r="E198" s="14" t="s">
        <v>86</v>
      </c>
      <c r="F198" s="35">
        <v>638200</v>
      </c>
    </row>
    <row r="199" spans="1:6" s="2" customFormat="1" ht="27" customHeight="1">
      <c r="A199" s="15" t="s">
        <v>494</v>
      </c>
      <c r="B199" s="14" t="s">
        <v>106</v>
      </c>
      <c r="C199" s="14" t="s">
        <v>40</v>
      </c>
      <c r="D199" s="14" t="s">
        <v>34</v>
      </c>
      <c r="E199" s="14" t="s">
        <v>49</v>
      </c>
      <c r="F199" s="35">
        <v>2501</v>
      </c>
    </row>
    <row r="200" spans="1:6" s="2" customFormat="1" ht="24.75" customHeight="1">
      <c r="A200" s="39" t="s">
        <v>110</v>
      </c>
      <c r="B200" s="14" t="s">
        <v>106</v>
      </c>
      <c r="C200" s="14" t="s">
        <v>40</v>
      </c>
      <c r="D200" s="14" t="s">
        <v>34</v>
      </c>
      <c r="E200" s="14" t="s">
        <v>86</v>
      </c>
      <c r="F200" s="35">
        <f>1458954-50000-500000+1000000</f>
        <v>1908954</v>
      </c>
    </row>
    <row r="201" spans="1:6" s="2" customFormat="1" ht="23.25" customHeight="1">
      <c r="A201" s="15" t="s">
        <v>204</v>
      </c>
      <c r="B201" s="14" t="s">
        <v>197</v>
      </c>
      <c r="C201" s="14"/>
      <c r="D201" s="14"/>
      <c r="E201" s="14"/>
      <c r="F201" s="35">
        <f>F202+F204</f>
        <v>4984478.18</v>
      </c>
    </row>
    <row r="202" spans="1:6" s="2" customFormat="1" ht="16.5" customHeight="1">
      <c r="A202" s="15" t="s">
        <v>24</v>
      </c>
      <c r="B202" s="14" t="s">
        <v>198</v>
      </c>
      <c r="C202" s="14"/>
      <c r="D202" s="14"/>
      <c r="E202" s="14"/>
      <c r="F202" s="35">
        <f>F203</f>
        <v>99999</v>
      </c>
    </row>
    <row r="203" spans="1:6" s="2" customFormat="1" ht="23.25" customHeight="1">
      <c r="A203" s="15" t="s">
        <v>205</v>
      </c>
      <c r="B203" s="14" t="s">
        <v>199</v>
      </c>
      <c r="C203" s="14" t="s">
        <v>32</v>
      </c>
      <c r="D203" s="14" t="s">
        <v>44</v>
      </c>
      <c r="E203" s="14" t="s">
        <v>49</v>
      </c>
      <c r="F203" s="35">
        <f>790109-690109+690109-690110</f>
        <v>99999</v>
      </c>
    </row>
    <row r="204" spans="1:6" s="2" customFormat="1" ht="23.25" customHeight="1">
      <c r="A204" s="20" t="s">
        <v>82</v>
      </c>
      <c r="B204" s="14" t="s">
        <v>509</v>
      </c>
      <c r="C204" s="14"/>
      <c r="D204" s="14"/>
      <c r="E204" s="14"/>
      <c r="F204" s="35">
        <f>F205</f>
        <v>4884479.18</v>
      </c>
    </row>
    <row r="205" spans="1:6" s="2" customFormat="1" ht="37.5" customHeight="1">
      <c r="A205" s="15" t="s">
        <v>511</v>
      </c>
      <c r="B205" s="14" t="s">
        <v>510</v>
      </c>
      <c r="C205" s="14" t="s">
        <v>40</v>
      </c>
      <c r="D205" s="14" t="s">
        <v>32</v>
      </c>
      <c r="E205" s="14" t="s">
        <v>86</v>
      </c>
      <c r="F205" s="35">
        <v>4884479.18</v>
      </c>
    </row>
    <row r="206" spans="1:6" s="2" customFormat="1" ht="25.5">
      <c r="A206" s="16" t="s">
        <v>260</v>
      </c>
      <c r="B206" s="41" t="s">
        <v>324</v>
      </c>
      <c r="C206" s="14"/>
      <c r="D206" s="14"/>
      <c r="E206" s="14"/>
      <c r="F206" s="40">
        <f>F207+F211+F215</f>
        <v>12638796.43</v>
      </c>
    </row>
    <row r="207" spans="1:6" s="2" customFormat="1" ht="13.5" customHeight="1">
      <c r="A207" s="15" t="s">
        <v>60</v>
      </c>
      <c r="B207" s="14" t="s">
        <v>325</v>
      </c>
      <c r="C207" s="14"/>
      <c r="D207" s="14"/>
      <c r="E207" s="14"/>
      <c r="F207" s="35">
        <f>SUM(F208:F210)</f>
        <v>9521761.19</v>
      </c>
    </row>
    <row r="208" spans="1:6" s="2" customFormat="1" ht="51">
      <c r="A208" s="17" t="s">
        <v>65</v>
      </c>
      <c r="B208" s="14" t="s">
        <v>326</v>
      </c>
      <c r="C208" s="14" t="s">
        <v>32</v>
      </c>
      <c r="D208" s="14" t="s">
        <v>44</v>
      </c>
      <c r="E208" s="14" t="s">
        <v>48</v>
      </c>
      <c r="F208" s="35">
        <f>6140032.83+6450+1850839.17</f>
        <v>7997322</v>
      </c>
    </row>
    <row r="209" spans="1:6" s="2" customFormat="1" ht="42.75" customHeight="1">
      <c r="A209" s="15" t="s">
        <v>66</v>
      </c>
      <c r="B209" s="14" t="s">
        <v>326</v>
      </c>
      <c r="C209" s="14" t="s">
        <v>32</v>
      </c>
      <c r="D209" s="14" t="s">
        <v>44</v>
      </c>
      <c r="E209" s="14" t="s">
        <v>49</v>
      </c>
      <c r="F209" s="35">
        <f>379864+410455.19+37010+690110</f>
        <v>1517439.19</v>
      </c>
    </row>
    <row r="210" spans="1:6" s="2" customFormat="1" ht="27.75" customHeight="1">
      <c r="A210" s="15" t="s">
        <v>67</v>
      </c>
      <c r="B210" s="14" t="s">
        <v>326</v>
      </c>
      <c r="C210" s="14" t="s">
        <v>32</v>
      </c>
      <c r="D210" s="14" t="s">
        <v>44</v>
      </c>
      <c r="E210" s="14" t="s">
        <v>51</v>
      </c>
      <c r="F210" s="35">
        <v>7000</v>
      </c>
    </row>
    <row r="211" spans="1:6" s="2" customFormat="1" ht="16.5" customHeight="1">
      <c r="A211" s="15" t="s">
        <v>24</v>
      </c>
      <c r="B211" s="14" t="s">
        <v>327</v>
      </c>
      <c r="C211" s="14"/>
      <c r="D211" s="14"/>
      <c r="E211" s="14"/>
      <c r="F211" s="35">
        <f>SUM(F212:F214)</f>
        <v>2775035.24</v>
      </c>
    </row>
    <row r="212" spans="1:6" s="2" customFormat="1" ht="25.5" customHeight="1">
      <c r="A212" s="15" t="s">
        <v>169</v>
      </c>
      <c r="B212" s="14" t="s">
        <v>332</v>
      </c>
      <c r="C212" s="14" t="s">
        <v>35</v>
      </c>
      <c r="D212" s="14" t="s">
        <v>42</v>
      </c>
      <c r="E212" s="14" t="s">
        <v>49</v>
      </c>
      <c r="F212" s="35">
        <v>135000</v>
      </c>
    </row>
    <row r="213" spans="1:6" s="2" customFormat="1" ht="25.5" customHeight="1">
      <c r="A213" s="15" t="s">
        <v>21</v>
      </c>
      <c r="B213" s="14" t="s">
        <v>332</v>
      </c>
      <c r="C213" s="14" t="s">
        <v>35</v>
      </c>
      <c r="D213" s="14" t="s">
        <v>42</v>
      </c>
      <c r="E213" s="14" t="s">
        <v>51</v>
      </c>
      <c r="F213" s="35">
        <v>50000</v>
      </c>
    </row>
    <row r="214" spans="1:6" s="2" customFormat="1" ht="25.5" customHeight="1">
      <c r="A214" s="15" t="s">
        <v>414</v>
      </c>
      <c r="B214" s="14" t="s">
        <v>328</v>
      </c>
      <c r="C214" s="14" t="s">
        <v>32</v>
      </c>
      <c r="D214" s="14" t="s">
        <v>44</v>
      </c>
      <c r="E214" s="14" t="s">
        <v>49</v>
      </c>
      <c r="F214" s="35">
        <v>2590035.24</v>
      </c>
    </row>
    <row r="215" spans="1:6" s="2" customFormat="1" ht="13.5">
      <c r="A215" s="15" t="s">
        <v>50</v>
      </c>
      <c r="B215" s="14" t="s">
        <v>329</v>
      </c>
      <c r="C215" s="14"/>
      <c r="D215" s="14"/>
      <c r="E215" s="14"/>
      <c r="F215" s="35">
        <f>SUM(F216:F217)</f>
        <v>342000</v>
      </c>
    </row>
    <row r="216" spans="1:6" s="2" customFormat="1" ht="27" customHeight="1">
      <c r="A216" s="15" t="s">
        <v>67</v>
      </c>
      <c r="B216" s="14" t="s">
        <v>330</v>
      </c>
      <c r="C216" s="14" t="s">
        <v>32</v>
      </c>
      <c r="D216" s="14" t="s">
        <v>44</v>
      </c>
      <c r="E216" s="14" t="s">
        <v>51</v>
      </c>
      <c r="F216" s="35">
        <v>42000</v>
      </c>
    </row>
    <row r="217" spans="1:6" s="2" customFormat="1" ht="25.5">
      <c r="A217" s="15" t="s">
        <v>415</v>
      </c>
      <c r="B217" s="14" t="s">
        <v>331</v>
      </c>
      <c r="C217" s="14" t="s">
        <v>32</v>
      </c>
      <c r="D217" s="14" t="s">
        <v>44</v>
      </c>
      <c r="E217" s="14" t="s">
        <v>51</v>
      </c>
      <c r="F217" s="35">
        <v>300000</v>
      </c>
    </row>
    <row r="218" spans="1:6" s="2" customFormat="1" ht="21.75" customHeight="1">
      <c r="A218" s="16" t="s">
        <v>418</v>
      </c>
      <c r="B218" s="41" t="s">
        <v>83</v>
      </c>
      <c r="C218" s="14"/>
      <c r="D218" s="14"/>
      <c r="E218" s="14"/>
      <c r="F218" s="40">
        <f>F219</f>
        <v>30000</v>
      </c>
    </row>
    <row r="219" spans="1:6" s="2" customFormat="1" ht="18.75" customHeight="1">
      <c r="A219" s="20" t="s">
        <v>82</v>
      </c>
      <c r="B219" s="14" t="s">
        <v>84</v>
      </c>
      <c r="C219" s="14"/>
      <c r="D219" s="14"/>
      <c r="E219" s="14"/>
      <c r="F219" s="35">
        <f>SUM(F220)</f>
        <v>30000</v>
      </c>
    </row>
    <row r="220" spans="1:6" s="2" customFormat="1" ht="25.5">
      <c r="A220" s="18" t="s">
        <v>87</v>
      </c>
      <c r="B220" s="14" t="s">
        <v>85</v>
      </c>
      <c r="C220" s="14" t="s">
        <v>40</v>
      </c>
      <c r="D220" s="14" t="s">
        <v>34</v>
      </c>
      <c r="E220" s="14" t="s">
        <v>86</v>
      </c>
      <c r="F220" s="35">
        <v>30000</v>
      </c>
    </row>
    <row r="221" spans="1:6" s="2" customFormat="1" ht="38.25">
      <c r="A221" s="24" t="s">
        <v>333</v>
      </c>
      <c r="B221" s="41" t="s">
        <v>129</v>
      </c>
      <c r="C221" s="14"/>
      <c r="D221" s="14"/>
      <c r="E221" s="14"/>
      <c r="F221" s="40">
        <f>F222</f>
        <v>30000</v>
      </c>
    </row>
    <row r="222" spans="1:6" s="2" customFormat="1" ht="13.5">
      <c r="A222" s="18" t="s">
        <v>24</v>
      </c>
      <c r="B222" s="14" t="s">
        <v>334</v>
      </c>
      <c r="C222" s="14"/>
      <c r="D222" s="14"/>
      <c r="E222" s="14"/>
      <c r="F222" s="35">
        <f>SUM(F223)</f>
        <v>30000</v>
      </c>
    </row>
    <row r="223" spans="1:6" s="2" customFormat="1" ht="25.5">
      <c r="A223" s="15" t="s">
        <v>413</v>
      </c>
      <c r="B223" s="14" t="s">
        <v>335</v>
      </c>
      <c r="C223" s="14" t="s">
        <v>40</v>
      </c>
      <c r="D223" s="14" t="s">
        <v>34</v>
      </c>
      <c r="E223" s="14" t="s">
        <v>49</v>
      </c>
      <c r="F223" s="35">
        <v>30000</v>
      </c>
    </row>
    <row r="224" spans="1:6" s="2" customFormat="1" ht="27.75" customHeight="1">
      <c r="A224" s="24" t="s">
        <v>261</v>
      </c>
      <c r="B224" s="41" t="s">
        <v>25</v>
      </c>
      <c r="C224" s="14"/>
      <c r="D224" s="14"/>
      <c r="E224" s="14"/>
      <c r="F224" s="40">
        <f>F225</f>
        <v>15484928</v>
      </c>
    </row>
    <row r="225" spans="1:16" s="2" customFormat="1" ht="13.5">
      <c r="A225" s="18" t="s">
        <v>336</v>
      </c>
      <c r="B225" s="14" t="s">
        <v>337</v>
      </c>
      <c r="C225" s="14"/>
      <c r="D225" s="14"/>
      <c r="E225" s="14"/>
      <c r="F225" s="35">
        <f>SUM(F226:F234)</f>
        <v>15484928</v>
      </c>
      <c r="I225" s="26"/>
      <c r="J225" s="26"/>
      <c r="K225" s="26"/>
      <c r="L225" s="26"/>
      <c r="M225" s="26"/>
      <c r="N225" s="27"/>
      <c r="O225" s="28"/>
      <c r="P225" s="29"/>
    </row>
    <row r="226" spans="1:6" s="2" customFormat="1" ht="25.5">
      <c r="A226" s="15" t="s">
        <v>432</v>
      </c>
      <c r="B226" s="14" t="s">
        <v>338</v>
      </c>
      <c r="C226" s="14" t="s">
        <v>35</v>
      </c>
      <c r="D226" s="14" t="s">
        <v>37</v>
      </c>
      <c r="E226" s="14" t="s">
        <v>49</v>
      </c>
      <c r="F226" s="35">
        <f>3495052-45321-15520+45321</f>
        <v>3479532</v>
      </c>
    </row>
    <row r="227" spans="1:6" s="2" customFormat="1" ht="25.5">
      <c r="A227" s="15" t="s">
        <v>433</v>
      </c>
      <c r="B227" s="14" t="s">
        <v>339</v>
      </c>
      <c r="C227" s="14" t="s">
        <v>35</v>
      </c>
      <c r="D227" s="14" t="s">
        <v>37</v>
      </c>
      <c r="E227" s="14" t="s">
        <v>49</v>
      </c>
      <c r="F227" s="35">
        <v>460000</v>
      </c>
    </row>
    <row r="228" spans="1:6" s="2" customFormat="1" ht="25.5">
      <c r="A228" s="15" t="s">
        <v>434</v>
      </c>
      <c r="B228" s="14" t="s">
        <v>340</v>
      </c>
      <c r="C228" s="14" t="s">
        <v>35</v>
      </c>
      <c r="D228" s="14" t="s">
        <v>37</v>
      </c>
      <c r="E228" s="14" t="s">
        <v>49</v>
      </c>
      <c r="F228" s="35">
        <v>895523</v>
      </c>
    </row>
    <row r="229" spans="1:6" s="3" customFormat="1" ht="25.5">
      <c r="A229" s="15" t="s">
        <v>435</v>
      </c>
      <c r="B229" s="14" t="s">
        <v>341</v>
      </c>
      <c r="C229" s="14" t="s">
        <v>35</v>
      </c>
      <c r="D229" s="14" t="s">
        <v>37</v>
      </c>
      <c r="E229" s="14" t="s">
        <v>49</v>
      </c>
      <c r="F229" s="35">
        <f>1068220-6114-43394+5000</f>
        <v>1023712</v>
      </c>
    </row>
    <row r="230" spans="1:6" s="3" customFormat="1" ht="23.25" customHeight="1">
      <c r="A230" s="15" t="s">
        <v>436</v>
      </c>
      <c r="B230" s="14" t="s">
        <v>342</v>
      </c>
      <c r="C230" s="14" t="s">
        <v>35</v>
      </c>
      <c r="D230" s="14" t="s">
        <v>37</v>
      </c>
      <c r="E230" s="14" t="s">
        <v>49</v>
      </c>
      <c r="F230" s="35">
        <f>1110905-289699+573800-30771-573800</f>
        <v>790435</v>
      </c>
    </row>
    <row r="231" spans="1:6" s="5" customFormat="1" ht="17.25" customHeight="1">
      <c r="A231" s="15" t="s">
        <v>112</v>
      </c>
      <c r="B231" s="14" t="s">
        <v>343</v>
      </c>
      <c r="C231" s="14" t="s">
        <v>35</v>
      </c>
      <c r="D231" s="14" t="s">
        <v>37</v>
      </c>
      <c r="E231" s="14" t="s">
        <v>49</v>
      </c>
      <c r="F231" s="35">
        <f>258766+295813</f>
        <v>554579</v>
      </c>
    </row>
    <row r="232" spans="1:6" s="5" customFormat="1" ht="27" customHeight="1">
      <c r="A232" s="15" t="s">
        <v>496</v>
      </c>
      <c r="B232" s="14" t="s">
        <v>388</v>
      </c>
      <c r="C232" s="14" t="s">
        <v>35</v>
      </c>
      <c r="D232" s="14" t="s">
        <v>37</v>
      </c>
      <c r="E232" s="14" t="s">
        <v>49</v>
      </c>
      <c r="F232" s="35">
        <f>1512517+490000+45321+70000+64685</f>
        <v>2182523</v>
      </c>
    </row>
    <row r="233" spans="1:6" s="5" customFormat="1" ht="28.5" customHeight="1">
      <c r="A233" s="15" t="s">
        <v>109</v>
      </c>
      <c r="B233" s="14" t="s">
        <v>104</v>
      </c>
      <c r="C233" s="14" t="s">
        <v>35</v>
      </c>
      <c r="D233" s="14" t="s">
        <v>37</v>
      </c>
      <c r="E233" s="14" t="s">
        <v>49</v>
      </c>
      <c r="F233" s="35">
        <v>1350000</v>
      </c>
    </row>
    <row r="234" spans="1:6" s="5" customFormat="1" ht="17.25" customHeight="1">
      <c r="A234" s="15" t="s">
        <v>497</v>
      </c>
      <c r="B234" s="14" t="s">
        <v>495</v>
      </c>
      <c r="C234" s="14" t="s">
        <v>35</v>
      </c>
      <c r="D234" s="14" t="s">
        <v>37</v>
      </c>
      <c r="E234" s="14" t="s">
        <v>49</v>
      </c>
      <c r="F234" s="35">
        <f>7166828-2418204</f>
        <v>4748624</v>
      </c>
    </row>
    <row r="235" spans="1:6" s="3" customFormat="1" ht="27.75" customHeight="1">
      <c r="A235" s="24" t="s">
        <v>264</v>
      </c>
      <c r="B235" s="14" t="s">
        <v>89</v>
      </c>
      <c r="C235" s="14"/>
      <c r="D235" s="14"/>
      <c r="E235" s="14"/>
      <c r="F235" s="40">
        <f>F236</f>
        <v>900000</v>
      </c>
    </row>
    <row r="236" spans="1:6" s="3" customFormat="1" ht="21" customHeight="1">
      <c r="A236" s="18" t="s">
        <v>24</v>
      </c>
      <c r="B236" s="14" t="s">
        <v>90</v>
      </c>
      <c r="C236" s="14"/>
      <c r="D236" s="14"/>
      <c r="E236" s="14"/>
      <c r="F236" s="35">
        <f>SUM(F237:F238)</f>
        <v>900000</v>
      </c>
    </row>
    <row r="237" spans="1:6" s="3" customFormat="1" ht="25.5">
      <c r="A237" s="15" t="s">
        <v>92</v>
      </c>
      <c r="B237" s="14" t="s">
        <v>91</v>
      </c>
      <c r="C237" s="14" t="s">
        <v>36</v>
      </c>
      <c r="D237" s="14" t="s">
        <v>40</v>
      </c>
      <c r="E237" s="14" t="s">
        <v>49</v>
      </c>
      <c r="F237" s="35">
        <v>892000</v>
      </c>
    </row>
    <row r="238" spans="1:6" s="3" customFormat="1" ht="28.5" customHeight="1">
      <c r="A238" s="15" t="s">
        <v>498</v>
      </c>
      <c r="B238" s="14" t="s">
        <v>91</v>
      </c>
      <c r="C238" s="14" t="s">
        <v>36</v>
      </c>
      <c r="D238" s="14" t="s">
        <v>40</v>
      </c>
      <c r="E238" s="14" t="s">
        <v>53</v>
      </c>
      <c r="F238" s="35">
        <v>8000</v>
      </c>
    </row>
    <row r="239" spans="1:6" s="3" customFormat="1" ht="25.5">
      <c r="A239" s="24" t="s">
        <v>262</v>
      </c>
      <c r="B239" s="41" t="s">
        <v>88</v>
      </c>
      <c r="C239" s="14"/>
      <c r="D239" s="14"/>
      <c r="E239" s="14"/>
      <c r="F239" s="40">
        <f>SUM(F240+F246+F253+F255+F257)</f>
        <v>28984384.65</v>
      </c>
    </row>
    <row r="240" spans="1:15" s="3" customFormat="1" ht="13.5">
      <c r="A240" s="15" t="s">
        <v>60</v>
      </c>
      <c r="B240" s="14" t="s">
        <v>351</v>
      </c>
      <c r="C240" s="14"/>
      <c r="D240" s="14"/>
      <c r="E240" s="14"/>
      <c r="F240" s="35">
        <f>SUM(F241:F245)</f>
        <v>9770463.11</v>
      </c>
      <c r="H240" s="26"/>
      <c r="I240" s="26"/>
      <c r="J240" s="26"/>
      <c r="K240" s="26"/>
      <c r="L240" s="26"/>
      <c r="M240" s="27"/>
      <c r="N240" s="28"/>
      <c r="O240" s="29"/>
    </row>
    <row r="241" spans="1:15" s="3" customFormat="1" ht="51">
      <c r="A241" s="17" t="s">
        <v>65</v>
      </c>
      <c r="B241" s="14" t="s">
        <v>352</v>
      </c>
      <c r="C241" s="14" t="s">
        <v>40</v>
      </c>
      <c r="D241" s="14" t="s">
        <v>40</v>
      </c>
      <c r="E241" s="14" t="s">
        <v>48</v>
      </c>
      <c r="F241" s="35">
        <f>5921490.88+1800+1784268.35+371920</f>
        <v>8079479.23</v>
      </c>
      <c r="H241" s="26"/>
      <c r="I241" s="26"/>
      <c r="J241" s="26"/>
      <c r="K241" s="26"/>
      <c r="L241" s="26"/>
      <c r="M241" s="27"/>
      <c r="N241" s="28"/>
      <c r="O241" s="29"/>
    </row>
    <row r="242" spans="1:15" s="3" customFormat="1" ht="38.25">
      <c r="A242" s="15" t="s">
        <v>66</v>
      </c>
      <c r="B242" s="14" t="s">
        <v>352</v>
      </c>
      <c r="C242" s="14" t="s">
        <v>40</v>
      </c>
      <c r="D242" s="14" t="s">
        <v>40</v>
      </c>
      <c r="E242" s="14" t="s">
        <v>49</v>
      </c>
      <c r="F242" s="35">
        <f>641645.08+853608.8+38530</f>
        <v>1533783.88</v>
      </c>
      <c r="H242" s="26"/>
      <c r="I242" s="26"/>
      <c r="J242" s="26"/>
      <c r="K242" s="26"/>
      <c r="L242" s="26"/>
      <c r="M242" s="27"/>
      <c r="N242" s="28"/>
      <c r="O242" s="29"/>
    </row>
    <row r="243" spans="1:6" s="3" customFormat="1" ht="24" customHeight="1">
      <c r="A243" s="15" t="s">
        <v>67</v>
      </c>
      <c r="B243" s="14" t="s">
        <v>352</v>
      </c>
      <c r="C243" s="14" t="s">
        <v>40</v>
      </c>
      <c r="D243" s="14" t="s">
        <v>40</v>
      </c>
      <c r="E243" s="14" t="s">
        <v>51</v>
      </c>
      <c r="F243" s="35">
        <v>109400</v>
      </c>
    </row>
    <row r="244" spans="1:6" s="3" customFormat="1" ht="54" customHeight="1">
      <c r="A244" s="21" t="s">
        <v>101</v>
      </c>
      <c r="B244" s="14" t="s">
        <v>102</v>
      </c>
      <c r="C244" s="14" t="s">
        <v>40</v>
      </c>
      <c r="D244" s="14" t="s">
        <v>40</v>
      </c>
      <c r="E244" s="14" t="s">
        <v>48</v>
      </c>
      <c r="F244" s="35">
        <v>33461</v>
      </c>
    </row>
    <row r="245" spans="1:6" s="3" customFormat="1" ht="40.5" customHeight="1">
      <c r="A245" s="21" t="s">
        <v>113</v>
      </c>
      <c r="B245" s="14" t="s">
        <v>102</v>
      </c>
      <c r="C245" s="14" t="s">
        <v>40</v>
      </c>
      <c r="D245" s="14" t="s">
        <v>40</v>
      </c>
      <c r="E245" s="14" t="s">
        <v>49</v>
      </c>
      <c r="F245" s="35">
        <v>14339</v>
      </c>
    </row>
    <row r="246" spans="1:6" s="3" customFormat="1" ht="13.5">
      <c r="A246" s="18" t="s">
        <v>24</v>
      </c>
      <c r="B246" s="14" t="s">
        <v>344</v>
      </c>
      <c r="C246" s="14"/>
      <c r="D246" s="14"/>
      <c r="E246" s="14"/>
      <c r="F246" s="35">
        <f>SUM(F247:F252)</f>
        <v>14821230</v>
      </c>
    </row>
    <row r="247" spans="1:6" s="2" customFormat="1" ht="25.5">
      <c r="A247" s="15" t="s">
        <v>438</v>
      </c>
      <c r="B247" s="14" t="s">
        <v>346</v>
      </c>
      <c r="C247" s="14" t="s">
        <v>40</v>
      </c>
      <c r="D247" s="14" t="s">
        <v>33</v>
      </c>
      <c r="E247" s="14" t="s">
        <v>49</v>
      </c>
      <c r="F247" s="35">
        <f>1962534+90834</f>
        <v>2053368</v>
      </c>
    </row>
    <row r="248" spans="1:6" s="2" customFormat="1" ht="25.5">
      <c r="A248" s="15" t="s">
        <v>439</v>
      </c>
      <c r="B248" s="14" t="s">
        <v>347</v>
      </c>
      <c r="C248" s="14" t="s">
        <v>40</v>
      </c>
      <c r="D248" s="14" t="s">
        <v>33</v>
      </c>
      <c r="E248" s="14" t="s">
        <v>49</v>
      </c>
      <c r="F248" s="35">
        <v>7435885</v>
      </c>
    </row>
    <row r="249" spans="1:6" s="2" customFormat="1" ht="15" customHeight="1">
      <c r="A249" s="15" t="s">
        <v>440</v>
      </c>
      <c r="B249" s="14" t="s">
        <v>348</v>
      </c>
      <c r="C249" s="14" t="s">
        <v>40</v>
      </c>
      <c r="D249" s="14" t="s">
        <v>33</v>
      </c>
      <c r="E249" s="14" t="s">
        <v>49</v>
      </c>
      <c r="F249" s="35">
        <v>347593.94</v>
      </c>
    </row>
    <row r="250" spans="1:6" s="2" customFormat="1" ht="25.5">
      <c r="A250" s="15" t="s">
        <v>441</v>
      </c>
      <c r="B250" s="14" t="s">
        <v>349</v>
      </c>
      <c r="C250" s="14" t="s">
        <v>40</v>
      </c>
      <c r="D250" s="14" t="s">
        <v>33</v>
      </c>
      <c r="E250" s="14" t="s">
        <v>49</v>
      </c>
      <c r="F250" s="35">
        <v>678514</v>
      </c>
    </row>
    <row r="251" spans="1:6" s="2" customFormat="1" ht="25.5">
      <c r="A251" s="15" t="s">
        <v>442</v>
      </c>
      <c r="B251" s="14" t="s">
        <v>350</v>
      </c>
      <c r="C251" s="14" t="s">
        <v>40</v>
      </c>
      <c r="D251" s="14" t="s">
        <v>33</v>
      </c>
      <c r="E251" s="14" t="s">
        <v>49</v>
      </c>
      <c r="F251" s="35">
        <f>4106669.06+100000</f>
        <v>4206669.0600000005</v>
      </c>
    </row>
    <row r="252" spans="1:6" s="2" customFormat="1" ht="51">
      <c r="A252" s="17" t="s">
        <v>437</v>
      </c>
      <c r="B252" s="14" t="s">
        <v>345</v>
      </c>
      <c r="C252" s="14" t="s">
        <v>35</v>
      </c>
      <c r="D252" s="14" t="s">
        <v>40</v>
      </c>
      <c r="E252" s="14" t="s">
        <v>49</v>
      </c>
      <c r="F252" s="35">
        <v>99200</v>
      </c>
    </row>
    <row r="253" spans="1:6" s="2" customFormat="1" ht="17.25" customHeight="1">
      <c r="A253" s="18" t="s">
        <v>47</v>
      </c>
      <c r="B253" s="14" t="s">
        <v>353</v>
      </c>
      <c r="C253" s="14"/>
      <c r="D253" s="14"/>
      <c r="E253" s="14"/>
      <c r="F253" s="35">
        <f>SUM(F254:F254)</f>
        <v>2001846.58</v>
      </c>
    </row>
    <row r="254" spans="1:6" s="2" customFormat="1" ht="25.5">
      <c r="A254" s="21" t="s">
        <v>161</v>
      </c>
      <c r="B254" s="14" t="s">
        <v>354</v>
      </c>
      <c r="C254" s="14" t="s">
        <v>40</v>
      </c>
      <c r="D254" s="14" t="s">
        <v>40</v>
      </c>
      <c r="E254" s="14" t="s">
        <v>53</v>
      </c>
      <c r="F254" s="35">
        <v>2001846.58</v>
      </c>
    </row>
    <row r="255" spans="1:6" s="2" customFormat="1" ht="24" customHeight="1">
      <c r="A255" s="15" t="s">
        <v>76</v>
      </c>
      <c r="B255" s="14" t="s">
        <v>430</v>
      </c>
      <c r="C255" s="14"/>
      <c r="D255" s="14"/>
      <c r="E255" s="14"/>
      <c r="F255" s="35">
        <f>SUM(F256)</f>
        <v>1495044.96</v>
      </c>
    </row>
    <row r="256" spans="1:6" s="2" customFormat="1" ht="18" customHeight="1">
      <c r="A256" s="15" t="s">
        <v>429</v>
      </c>
      <c r="B256" s="14" t="s">
        <v>431</v>
      </c>
      <c r="C256" s="14" t="s">
        <v>40</v>
      </c>
      <c r="D256" s="14" t="s">
        <v>34</v>
      </c>
      <c r="E256" s="14" t="s">
        <v>51</v>
      </c>
      <c r="F256" s="35">
        <f>700000+21574.96+773470</f>
        <v>1495044.96</v>
      </c>
    </row>
    <row r="257" spans="1:6" s="2" customFormat="1" ht="13.5">
      <c r="A257" s="15" t="s">
        <v>50</v>
      </c>
      <c r="B257" s="14" t="s">
        <v>355</v>
      </c>
      <c r="C257" s="14"/>
      <c r="D257" s="14"/>
      <c r="E257" s="14"/>
      <c r="F257" s="35">
        <f>SUM(F258)</f>
        <v>895800</v>
      </c>
    </row>
    <row r="258" spans="1:6" s="2" customFormat="1" ht="25.5">
      <c r="A258" s="15" t="s">
        <v>67</v>
      </c>
      <c r="B258" s="14" t="s">
        <v>356</v>
      </c>
      <c r="C258" s="14" t="s">
        <v>40</v>
      </c>
      <c r="D258" s="14" t="s">
        <v>40</v>
      </c>
      <c r="E258" s="14" t="s">
        <v>51</v>
      </c>
      <c r="F258" s="35">
        <f>695800+200000</f>
        <v>895800</v>
      </c>
    </row>
    <row r="259" spans="1:6" s="3" customFormat="1" ht="25.5">
      <c r="A259" s="24" t="s">
        <v>265</v>
      </c>
      <c r="B259" s="41" t="s">
        <v>130</v>
      </c>
      <c r="C259" s="14"/>
      <c r="D259" s="14"/>
      <c r="E259" s="14"/>
      <c r="F259" s="40">
        <f>SUM(F260+F264+F266+F275+F279+F271)</f>
        <v>46932139</v>
      </c>
    </row>
    <row r="260" spans="1:15" s="3" customFormat="1" ht="13.5">
      <c r="A260" s="15" t="s">
        <v>60</v>
      </c>
      <c r="B260" s="14" t="s">
        <v>370</v>
      </c>
      <c r="C260" s="14"/>
      <c r="D260" s="14"/>
      <c r="E260" s="14"/>
      <c r="F260" s="35">
        <f>SUM(F261:F263)</f>
        <v>1282859</v>
      </c>
      <c r="H260" s="26"/>
      <c r="I260" s="26"/>
      <c r="J260" s="26"/>
      <c r="K260" s="26"/>
      <c r="L260" s="26"/>
      <c r="M260" s="34"/>
      <c r="N260" s="28"/>
      <c r="O260" s="29"/>
    </row>
    <row r="261" spans="1:15" s="3" customFormat="1" ht="51">
      <c r="A261" s="17" t="s">
        <v>65</v>
      </c>
      <c r="B261" s="14" t="s">
        <v>371</v>
      </c>
      <c r="C261" s="14" t="s">
        <v>38</v>
      </c>
      <c r="D261" s="14" t="s">
        <v>35</v>
      </c>
      <c r="E261" s="14" t="s">
        <v>48</v>
      </c>
      <c r="F261" s="35">
        <f>916705+2000+276762</f>
        <v>1195467</v>
      </c>
      <c r="H261" s="26"/>
      <c r="I261" s="26"/>
      <c r="J261" s="26"/>
      <c r="K261" s="26"/>
      <c r="L261" s="26"/>
      <c r="M261" s="34"/>
      <c r="N261" s="28"/>
      <c r="O261" s="29"/>
    </row>
    <row r="262" spans="1:15" s="3" customFormat="1" ht="38.25">
      <c r="A262" s="15" t="s">
        <v>66</v>
      </c>
      <c r="B262" s="14" t="s">
        <v>371</v>
      </c>
      <c r="C262" s="14" t="s">
        <v>38</v>
      </c>
      <c r="D262" s="14" t="s">
        <v>35</v>
      </c>
      <c r="E262" s="14" t="s">
        <v>49</v>
      </c>
      <c r="F262" s="35">
        <v>87082</v>
      </c>
      <c r="H262" s="26"/>
      <c r="I262" s="26"/>
      <c r="J262" s="26"/>
      <c r="K262" s="26"/>
      <c r="L262" s="26"/>
      <c r="M262" s="34"/>
      <c r="N262" s="28"/>
      <c r="O262" s="29"/>
    </row>
    <row r="263" spans="1:15" s="3" customFormat="1" ht="25.5">
      <c r="A263" s="15" t="s">
        <v>67</v>
      </c>
      <c r="B263" s="14" t="s">
        <v>371</v>
      </c>
      <c r="C263" s="14" t="s">
        <v>38</v>
      </c>
      <c r="D263" s="14" t="s">
        <v>35</v>
      </c>
      <c r="E263" s="14" t="s">
        <v>51</v>
      </c>
      <c r="F263" s="35">
        <v>310</v>
      </c>
      <c r="H263" s="26"/>
      <c r="I263" s="26"/>
      <c r="J263" s="26"/>
      <c r="K263" s="26"/>
      <c r="L263" s="26"/>
      <c r="M263" s="34"/>
      <c r="N263" s="28"/>
      <c r="O263" s="29"/>
    </row>
    <row r="264" spans="1:6" s="3" customFormat="1" ht="13.5">
      <c r="A264" s="20" t="s">
        <v>24</v>
      </c>
      <c r="B264" s="14" t="s">
        <v>360</v>
      </c>
      <c r="C264" s="14"/>
      <c r="D264" s="14"/>
      <c r="E264" s="14"/>
      <c r="F264" s="35">
        <f>SUM(F265)</f>
        <v>417000</v>
      </c>
    </row>
    <row r="265" spans="1:6" s="3" customFormat="1" ht="25.5">
      <c r="A265" s="15" t="s">
        <v>445</v>
      </c>
      <c r="B265" s="14" t="s">
        <v>361</v>
      </c>
      <c r="C265" s="14" t="s">
        <v>38</v>
      </c>
      <c r="D265" s="14" t="s">
        <v>32</v>
      </c>
      <c r="E265" s="14" t="s">
        <v>49</v>
      </c>
      <c r="F265" s="35">
        <f>362000+55000</f>
        <v>417000</v>
      </c>
    </row>
    <row r="266" spans="1:6" s="3" customFormat="1" ht="19.5" customHeight="1">
      <c r="A266" s="21" t="s">
        <v>47</v>
      </c>
      <c r="B266" s="14" t="s">
        <v>357</v>
      </c>
      <c r="C266" s="14"/>
      <c r="D266" s="14"/>
      <c r="E266" s="14"/>
      <c r="F266" s="35">
        <f>SUM(F267:F270)</f>
        <v>36242448</v>
      </c>
    </row>
    <row r="267" spans="1:6" s="3" customFormat="1" ht="51" customHeight="1">
      <c r="A267" s="21" t="s">
        <v>443</v>
      </c>
      <c r="B267" s="14" t="s">
        <v>358</v>
      </c>
      <c r="C267" s="14" t="s">
        <v>41</v>
      </c>
      <c r="D267" s="14" t="s">
        <v>33</v>
      </c>
      <c r="E267" s="14" t="s">
        <v>53</v>
      </c>
      <c r="F267" s="35">
        <v>5718800</v>
      </c>
    </row>
    <row r="268" spans="1:6" s="3" customFormat="1" ht="42" customHeight="1">
      <c r="A268" s="21" t="s">
        <v>444</v>
      </c>
      <c r="B268" s="14" t="s">
        <v>359</v>
      </c>
      <c r="C268" s="14" t="s">
        <v>41</v>
      </c>
      <c r="D268" s="14" t="s">
        <v>33</v>
      </c>
      <c r="E268" s="14" t="s">
        <v>53</v>
      </c>
      <c r="F268" s="35">
        <f>17149655+558848+780732</f>
        <v>18489235</v>
      </c>
    </row>
    <row r="269" spans="1:6" s="3" customFormat="1" ht="24.75" customHeight="1">
      <c r="A269" s="21" t="s">
        <v>446</v>
      </c>
      <c r="B269" s="14" t="s">
        <v>362</v>
      </c>
      <c r="C269" s="14" t="s">
        <v>38</v>
      </c>
      <c r="D269" s="14" t="s">
        <v>32</v>
      </c>
      <c r="E269" s="14" t="s">
        <v>53</v>
      </c>
      <c r="F269" s="35">
        <f>9733849+101061+142054</f>
        <v>9976964</v>
      </c>
    </row>
    <row r="270" spans="1:6" s="3" customFormat="1" ht="24" customHeight="1">
      <c r="A270" s="21" t="s">
        <v>447</v>
      </c>
      <c r="B270" s="14" t="s">
        <v>363</v>
      </c>
      <c r="C270" s="14" t="s">
        <v>38</v>
      </c>
      <c r="D270" s="14" t="s">
        <v>32</v>
      </c>
      <c r="E270" s="14" t="s">
        <v>53</v>
      </c>
      <c r="F270" s="35">
        <f>1492195+236357+328897</f>
        <v>2057449</v>
      </c>
    </row>
    <row r="271" spans="1:6" s="3" customFormat="1" ht="15.75" customHeight="1">
      <c r="A271" s="21" t="s">
        <v>115</v>
      </c>
      <c r="B271" s="14" t="s">
        <v>194</v>
      </c>
      <c r="C271" s="14"/>
      <c r="D271" s="14"/>
      <c r="E271" s="14"/>
      <c r="F271" s="35">
        <f>F273+F272+F274</f>
        <v>460300</v>
      </c>
    </row>
    <row r="272" spans="1:6" s="3" customFormat="1" ht="39" customHeight="1">
      <c r="A272" s="21" t="s">
        <v>444</v>
      </c>
      <c r="B272" s="14" t="s">
        <v>195</v>
      </c>
      <c r="C272" s="14" t="s">
        <v>41</v>
      </c>
      <c r="D272" s="14" t="s">
        <v>33</v>
      </c>
      <c r="E272" s="14" t="s">
        <v>53</v>
      </c>
      <c r="F272" s="35">
        <f>44400+55900</f>
        <v>100300</v>
      </c>
    </row>
    <row r="273" spans="1:6" s="3" customFormat="1" ht="24" customHeight="1">
      <c r="A273" s="21" t="s">
        <v>446</v>
      </c>
      <c r="B273" s="14" t="s">
        <v>193</v>
      </c>
      <c r="C273" s="14" t="s">
        <v>38</v>
      </c>
      <c r="D273" s="14" t="s">
        <v>32</v>
      </c>
      <c r="E273" s="14" t="s">
        <v>53</v>
      </c>
      <c r="F273" s="35">
        <f>100000+200000</f>
        <v>300000</v>
      </c>
    </row>
    <row r="274" spans="1:6" s="3" customFormat="1" ht="24" customHeight="1">
      <c r="A274" s="21" t="s">
        <v>447</v>
      </c>
      <c r="B274" s="14" t="s">
        <v>208</v>
      </c>
      <c r="C274" s="14" t="s">
        <v>38</v>
      </c>
      <c r="D274" s="14" t="s">
        <v>32</v>
      </c>
      <c r="E274" s="14" t="s">
        <v>53</v>
      </c>
      <c r="F274" s="35">
        <v>60000</v>
      </c>
    </row>
    <row r="275" spans="1:6" s="3" customFormat="1" ht="14.25" customHeight="1">
      <c r="A275" s="15" t="s">
        <v>50</v>
      </c>
      <c r="B275" s="14" t="s">
        <v>364</v>
      </c>
      <c r="C275" s="14"/>
      <c r="D275" s="14"/>
      <c r="E275" s="14"/>
      <c r="F275" s="35">
        <f>SUM(F276:F278)</f>
        <v>22258.92</v>
      </c>
    </row>
    <row r="276" spans="1:16" s="3" customFormat="1" ht="30.75" customHeight="1">
      <c r="A276" s="15" t="s">
        <v>67</v>
      </c>
      <c r="B276" s="14" t="s">
        <v>372</v>
      </c>
      <c r="C276" s="14" t="s">
        <v>38</v>
      </c>
      <c r="D276" s="14" t="s">
        <v>35</v>
      </c>
      <c r="E276" s="14" t="s">
        <v>51</v>
      </c>
      <c r="F276" s="35">
        <v>1356</v>
      </c>
      <c r="I276" s="26"/>
      <c r="J276" s="26"/>
      <c r="K276" s="26"/>
      <c r="L276" s="26"/>
      <c r="M276" s="26"/>
      <c r="N276" s="34"/>
      <c r="O276" s="28"/>
      <c r="P276" s="29"/>
    </row>
    <row r="277" spans="1:16" s="3" customFormat="1" ht="13.5">
      <c r="A277" s="15" t="s">
        <v>448</v>
      </c>
      <c r="B277" s="14" t="s">
        <v>365</v>
      </c>
      <c r="C277" s="14" t="s">
        <v>38</v>
      </c>
      <c r="D277" s="14" t="s">
        <v>32</v>
      </c>
      <c r="E277" s="14" t="s">
        <v>51</v>
      </c>
      <c r="F277" s="35">
        <v>11278.92</v>
      </c>
      <c r="I277" s="26"/>
      <c r="J277" s="26"/>
      <c r="K277" s="26"/>
      <c r="L277" s="26"/>
      <c r="M277" s="26"/>
      <c r="N277" s="34"/>
      <c r="O277" s="28"/>
      <c r="P277" s="29"/>
    </row>
    <row r="278" spans="1:16" s="3" customFormat="1" ht="25.5">
      <c r="A278" s="15" t="s">
        <v>449</v>
      </c>
      <c r="B278" s="14" t="s">
        <v>366</v>
      </c>
      <c r="C278" s="14" t="s">
        <v>38</v>
      </c>
      <c r="D278" s="14" t="s">
        <v>32</v>
      </c>
      <c r="E278" s="14" t="s">
        <v>51</v>
      </c>
      <c r="F278" s="35">
        <v>9624</v>
      </c>
      <c r="I278" s="26"/>
      <c r="J278" s="26"/>
      <c r="K278" s="26"/>
      <c r="L278" s="26"/>
      <c r="M278" s="26"/>
      <c r="N278" s="34"/>
      <c r="O278" s="28"/>
      <c r="P278" s="29"/>
    </row>
    <row r="279" spans="1:6" s="3" customFormat="1" ht="18" customHeight="1">
      <c r="A279" s="20" t="s">
        <v>46</v>
      </c>
      <c r="B279" s="14" t="s">
        <v>367</v>
      </c>
      <c r="C279" s="14"/>
      <c r="D279" s="14"/>
      <c r="E279" s="14"/>
      <c r="F279" s="35">
        <f>SUM(F280:F287)</f>
        <v>8507273.08</v>
      </c>
    </row>
    <row r="280" spans="1:6" s="3" customFormat="1" ht="51" customHeight="1">
      <c r="A280" s="17" t="s">
        <v>152</v>
      </c>
      <c r="B280" s="14" t="s">
        <v>373</v>
      </c>
      <c r="C280" s="14" t="s">
        <v>38</v>
      </c>
      <c r="D280" s="14" t="s">
        <v>35</v>
      </c>
      <c r="E280" s="14" t="s">
        <v>48</v>
      </c>
      <c r="F280" s="35">
        <f>1668904+2000+504007</f>
        <v>2174911</v>
      </c>
    </row>
    <row r="281" spans="1:6" s="3" customFormat="1" ht="41.25" customHeight="1">
      <c r="A281" s="17" t="s">
        <v>154</v>
      </c>
      <c r="B281" s="14" t="s">
        <v>373</v>
      </c>
      <c r="C281" s="14" t="s">
        <v>38</v>
      </c>
      <c r="D281" s="14" t="s">
        <v>35</v>
      </c>
      <c r="E281" s="14" t="s">
        <v>49</v>
      </c>
      <c r="F281" s="35">
        <f>49690.48+37391.52</f>
        <v>87082</v>
      </c>
    </row>
    <row r="282" spans="1:6" s="3" customFormat="1" ht="42.75" customHeight="1">
      <c r="A282" s="15" t="s">
        <v>450</v>
      </c>
      <c r="B282" s="14" t="s">
        <v>368</v>
      </c>
      <c r="C282" s="14" t="s">
        <v>38</v>
      </c>
      <c r="D282" s="14" t="s">
        <v>32</v>
      </c>
      <c r="E282" s="14" t="s">
        <v>48</v>
      </c>
      <c r="F282" s="35">
        <f>1040906+2000+314354</f>
        <v>1357260</v>
      </c>
    </row>
    <row r="283" spans="1:6" s="3" customFormat="1" ht="24" customHeight="1">
      <c r="A283" s="15" t="s">
        <v>451</v>
      </c>
      <c r="B283" s="14" t="s">
        <v>368</v>
      </c>
      <c r="C283" s="14" t="s">
        <v>38</v>
      </c>
      <c r="D283" s="14" t="s">
        <v>32</v>
      </c>
      <c r="E283" s="14" t="s">
        <v>49</v>
      </c>
      <c r="F283" s="35">
        <f>193747+134319</f>
        <v>328066</v>
      </c>
    </row>
    <row r="284" spans="1:6" s="5" customFormat="1" ht="16.5" customHeight="1">
      <c r="A284" s="15" t="s">
        <v>448</v>
      </c>
      <c r="B284" s="14" t="s">
        <v>368</v>
      </c>
      <c r="C284" s="14" t="s">
        <v>38</v>
      </c>
      <c r="D284" s="14" t="s">
        <v>32</v>
      </c>
      <c r="E284" s="14" t="s">
        <v>51</v>
      </c>
      <c r="F284" s="35">
        <f>129+1.08</f>
        <v>130.08</v>
      </c>
    </row>
    <row r="285" spans="1:6" s="2" customFormat="1" ht="51">
      <c r="A285" s="17" t="s">
        <v>452</v>
      </c>
      <c r="B285" s="14" t="s">
        <v>369</v>
      </c>
      <c r="C285" s="14" t="s">
        <v>38</v>
      </c>
      <c r="D285" s="14" t="s">
        <v>32</v>
      </c>
      <c r="E285" s="14" t="s">
        <v>48</v>
      </c>
      <c r="F285" s="35">
        <f>2845871+1263+859453</f>
        <v>3706587</v>
      </c>
    </row>
    <row r="286" spans="1:6" s="2" customFormat="1" ht="24" customHeight="1">
      <c r="A286" s="15" t="s">
        <v>453</v>
      </c>
      <c r="B286" s="14" t="s">
        <v>369</v>
      </c>
      <c r="C286" s="14" t="s">
        <v>38</v>
      </c>
      <c r="D286" s="14" t="s">
        <v>32</v>
      </c>
      <c r="E286" s="14" t="s">
        <v>49</v>
      </c>
      <c r="F286" s="35">
        <f>51050+789186+12839</f>
        <v>853075</v>
      </c>
    </row>
    <row r="287" spans="1:6" s="2" customFormat="1" ht="25.5">
      <c r="A287" s="15" t="s">
        <v>449</v>
      </c>
      <c r="B287" s="14" t="s">
        <v>369</v>
      </c>
      <c r="C287" s="14" t="s">
        <v>38</v>
      </c>
      <c r="D287" s="14" t="s">
        <v>32</v>
      </c>
      <c r="E287" s="14" t="s">
        <v>51</v>
      </c>
      <c r="F287" s="35">
        <v>162</v>
      </c>
    </row>
    <row r="288" spans="1:6" ht="25.5">
      <c r="A288" s="22" t="s">
        <v>263</v>
      </c>
      <c r="B288" s="41" t="s">
        <v>173</v>
      </c>
      <c r="C288" s="14"/>
      <c r="D288" s="14"/>
      <c r="E288" s="14"/>
      <c r="F288" s="40">
        <f>SUM(F289+F291)</f>
        <v>994000</v>
      </c>
    </row>
    <row r="289" spans="1:6" ht="17.25" customHeight="1">
      <c r="A289" s="18" t="s">
        <v>24</v>
      </c>
      <c r="B289" s="14" t="s">
        <v>471</v>
      </c>
      <c r="C289" s="14"/>
      <c r="D289" s="14"/>
      <c r="E289" s="14"/>
      <c r="F289" s="35">
        <f>SUM(F290)</f>
        <v>90000</v>
      </c>
    </row>
    <row r="290" spans="1:6" ht="27.75" customHeight="1">
      <c r="A290" s="21" t="s">
        <v>454</v>
      </c>
      <c r="B290" s="14" t="s">
        <v>472</v>
      </c>
      <c r="C290" s="14" t="s">
        <v>41</v>
      </c>
      <c r="D290" s="14" t="s">
        <v>41</v>
      </c>
      <c r="E290" s="14" t="s">
        <v>53</v>
      </c>
      <c r="F290" s="35">
        <v>90000</v>
      </c>
    </row>
    <row r="291" spans="1:6" ht="25.5">
      <c r="A291" s="15" t="s">
        <v>142</v>
      </c>
      <c r="B291" s="14" t="s">
        <v>467</v>
      </c>
      <c r="C291" s="14"/>
      <c r="D291" s="14"/>
      <c r="E291" s="14"/>
      <c r="F291" s="35">
        <f>SUM(F292:F294)</f>
        <v>904000</v>
      </c>
    </row>
    <row r="292" spans="1:6" ht="37.5" customHeight="1">
      <c r="A292" s="21" t="s">
        <v>134</v>
      </c>
      <c r="B292" s="14" t="s">
        <v>375</v>
      </c>
      <c r="C292" s="14" t="s">
        <v>374</v>
      </c>
      <c r="D292" s="14" t="s">
        <v>34</v>
      </c>
      <c r="E292" s="14" t="s">
        <v>53</v>
      </c>
      <c r="F292" s="35">
        <v>200000</v>
      </c>
    </row>
    <row r="293" spans="1:18" ht="26.25" customHeight="1">
      <c r="A293" s="21" t="s">
        <v>145</v>
      </c>
      <c r="B293" s="14" t="s">
        <v>468</v>
      </c>
      <c r="C293" s="14" t="s">
        <v>39</v>
      </c>
      <c r="D293" s="14" t="s">
        <v>36</v>
      </c>
      <c r="E293" s="14" t="s">
        <v>53</v>
      </c>
      <c r="F293" s="35">
        <f>539000+75000</f>
        <v>614000</v>
      </c>
      <c r="I293" s="26"/>
      <c r="J293" s="26"/>
      <c r="K293" s="26"/>
      <c r="L293" s="26"/>
      <c r="M293" s="26"/>
      <c r="N293" s="27"/>
      <c r="O293" s="28"/>
      <c r="P293" s="29"/>
      <c r="Q293" s="28"/>
      <c r="R293" s="29"/>
    </row>
    <row r="294" spans="1:18" ht="38.25">
      <c r="A294" s="21" t="s">
        <v>135</v>
      </c>
      <c r="B294" s="14" t="s">
        <v>469</v>
      </c>
      <c r="C294" s="14" t="s">
        <v>39</v>
      </c>
      <c r="D294" s="14" t="s">
        <v>36</v>
      </c>
      <c r="E294" s="14" t="s">
        <v>53</v>
      </c>
      <c r="F294" s="35">
        <v>90000</v>
      </c>
      <c r="I294" s="26"/>
      <c r="J294" s="26"/>
      <c r="K294" s="26"/>
      <c r="L294" s="26"/>
      <c r="M294" s="26"/>
      <c r="N294" s="34"/>
      <c r="O294" s="28"/>
      <c r="P294" s="29"/>
      <c r="Q294" s="30"/>
      <c r="R294" s="30"/>
    </row>
    <row r="295" spans="1:18" ht="32.25" customHeight="1">
      <c r="A295" s="22" t="s">
        <v>502</v>
      </c>
      <c r="B295" s="41" t="s">
        <v>499</v>
      </c>
      <c r="C295" s="14"/>
      <c r="D295" s="14"/>
      <c r="E295" s="14"/>
      <c r="F295" s="40">
        <f>F296</f>
        <v>15663300</v>
      </c>
      <c r="I295" s="26"/>
      <c r="J295" s="26"/>
      <c r="K295" s="26"/>
      <c r="L295" s="26"/>
      <c r="M295" s="26"/>
      <c r="N295" s="34"/>
      <c r="O295" s="28"/>
      <c r="P295" s="29"/>
      <c r="Q295" s="30"/>
      <c r="R295" s="30"/>
    </row>
    <row r="296" spans="1:18" ht="13.5">
      <c r="A296" s="18" t="s">
        <v>24</v>
      </c>
      <c r="B296" s="14" t="s">
        <v>500</v>
      </c>
      <c r="C296" s="14"/>
      <c r="D296" s="14"/>
      <c r="E296" s="14"/>
      <c r="F296" s="35">
        <f>F297</f>
        <v>15663300</v>
      </c>
      <c r="I296" s="26"/>
      <c r="J296" s="26"/>
      <c r="K296" s="26"/>
      <c r="L296" s="26"/>
      <c r="M296" s="26"/>
      <c r="N296" s="34"/>
      <c r="O296" s="28"/>
      <c r="P296" s="29"/>
      <c r="Q296" s="30"/>
      <c r="R296" s="30"/>
    </row>
    <row r="297" spans="1:18" ht="25.5">
      <c r="A297" s="21" t="s">
        <v>503</v>
      </c>
      <c r="B297" s="14" t="s">
        <v>501</v>
      </c>
      <c r="C297" s="14" t="s">
        <v>40</v>
      </c>
      <c r="D297" s="14" t="s">
        <v>33</v>
      </c>
      <c r="E297" s="14" t="s">
        <v>49</v>
      </c>
      <c r="F297" s="35">
        <v>15663300</v>
      </c>
      <c r="I297" s="26"/>
      <c r="J297" s="26"/>
      <c r="K297" s="26"/>
      <c r="L297" s="26"/>
      <c r="M297" s="26"/>
      <c r="N297" s="34"/>
      <c r="O297" s="28"/>
      <c r="P297" s="29"/>
      <c r="Q297" s="30"/>
      <c r="R297" s="30"/>
    </row>
    <row r="298" spans="1:16" ht="13.5">
      <c r="A298" s="16" t="s">
        <v>59</v>
      </c>
      <c r="B298" s="41" t="s">
        <v>58</v>
      </c>
      <c r="C298" s="14"/>
      <c r="D298" s="14"/>
      <c r="E298" s="14"/>
      <c r="F298" s="40">
        <f>SUM(F299+F324)</f>
        <v>76309718.94999999</v>
      </c>
      <c r="I298" s="30"/>
      <c r="J298" s="30"/>
      <c r="K298" s="30"/>
      <c r="L298" s="30"/>
      <c r="M298" s="30"/>
      <c r="N298" s="30"/>
      <c r="O298" s="30"/>
      <c r="P298" s="30"/>
    </row>
    <row r="299" spans="1:6" ht="13.5">
      <c r="A299" s="15" t="s">
        <v>60</v>
      </c>
      <c r="B299" s="14" t="s">
        <v>61</v>
      </c>
      <c r="C299" s="14"/>
      <c r="D299" s="14"/>
      <c r="E299" s="14"/>
      <c r="F299" s="35">
        <f>SUM(F300:F323)</f>
        <v>76011530.94999999</v>
      </c>
    </row>
    <row r="300" spans="1:6" ht="13.5">
      <c r="A300" s="15" t="s">
        <v>463</v>
      </c>
      <c r="B300" s="14" t="s">
        <v>380</v>
      </c>
      <c r="C300" s="14" t="s">
        <v>32</v>
      </c>
      <c r="D300" s="14" t="s">
        <v>44</v>
      </c>
      <c r="E300" s="14" t="s">
        <v>51</v>
      </c>
      <c r="F300" s="35">
        <f>10759003.31+3025995.04+24092</f>
        <v>13809090.350000001</v>
      </c>
    </row>
    <row r="301" spans="1:6" ht="13.5">
      <c r="A301" s="15" t="s">
        <v>463</v>
      </c>
      <c r="B301" s="14" t="s">
        <v>380</v>
      </c>
      <c r="C301" s="14" t="s">
        <v>40</v>
      </c>
      <c r="D301" s="14" t="s">
        <v>34</v>
      </c>
      <c r="E301" s="14" t="s">
        <v>51</v>
      </c>
      <c r="F301" s="35">
        <v>15197512.41</v>
      </c>
    </row>
    <row r="302" spans="1:6" ht="13.5">
      <c r="A302" s="15" t="s">
        <v>463</v>
      </c>
      <c r="B302" s="14" t="s">
        <v>380</v>
      </c>
      <c r="C302" s="14" t="s">
        <v>40</v>
      </c>
      <c r="D302" s="14" t="s">
        <v>33</v>
      </c>
      <c r="E302" s="14" t="s">
        <v>51</v>
      </c>
      <c r="F302" s="35">
        <v>89560.46</v>
      </c>
    </row>
    <row r="303" spans="1:6" ht="13.5">
      <c r="A303" s="15" t="s">
        <v>18</v>
      </c>
      <c r="B303" s="14" t="s">
        <v>144</v>
      </c>
      <c r="C303" s="14" t="s">
        <v>32</v>
      </c>
      <c r="D303" s="14" t="s">
        <v>43</v>
      </c>
      <c r="E303" s="14" t="s">
        <v>51</v>
      </c>
      <c r="F303" s="35">
        <v>89672.58</v>
      </c>
    </row>
    <row r="304" spans="1:6" ht="38.25">
      <c r="A304" s="15" t="s">
        <v>64</v>
      </c>
      <c r="B304" s="14" t="s">
        <v>63</v>
      </c>
      <c r="C304" s="14" t="s">
        <v>32</v>
      </c>
      <c r="D304" s="14" t="s">
        <v>34</v>
      </c>
      <c r="E304" s="14" t="s">
        <v>48</v>
      </c>
      <c r="F304" s="35">
        <f>1348684+302940</f>
        <v>1651624</v>
      </c>
    </row>
    <row r="305" spans="1:6" ht="51">
      <c r="A305" s="17" t="s">
        <v>65</v>
      </c>
      <c r="B305" s="14" t="s">
        <v>62</v>
      </c>
      <c r="C305" s="14" t="s">
        <v>32</v>
      </c>
      <c r="D305" s="14" t="s">
        <v>33</v>
      </c>
      <c r="E305" s="14" t="s">
        <v>48</v>
      </c>
      <c r="F305" s="35">
        <f>1579472+35890+477005</f>
        <v>2092367</v>
      </c>
    </row>
    <row r="306" spans="1:6" ht="38.25">
      <c r="A306" s="15" t="s">
        <v>66</v>
      </c>
      <c r="B306" s="14" t="s">
        <v>62</v>
      </c>
      <c r="C306" s="14" t="s">
        <v>32</v>
      </c>
      <c r="D306" s="14" t="s">
        <v>33</v>
      </c>
      <c r="E306" s="14" t="s">
        <v>49</v>
      </c>
      <c r="F306" s="35">
        <f>63575.26+554641.42+99000</f>
        <v>717216.68</v>
      </c>
    </row>
    <row r="307" spans="1:16" ht="25.5">
      <c r="A307" s="15" t="s">
        <v>455</v>
      </c>
      <c r="B307" s="14" t="s">
        <v>62</v>
      </c>
      <c r="C307" s="14" t="s">
        <v>32</v>
      </c>
      <c r="D307" s="14" t="s">
        <v>33</v>
      </c>
      <c r="E307" s="14" t="s">
        <v>51</v>
      </c>
      <c r="F307" s="35">
        <f>509000+3000</f>
        <v>512000</v>
      </c>
      <c r="I307" s="26"/>
      <c r="J307" s="26"/>
      <c r="K307" s="26"/>
      <c r="L307" s="26"/>
      <c r="M307" s="26"/>
      <c r="N307" s="27"/>
      <c r="O307" s="28"/>
      <c r="P307" s="32"/>
    </row>
    <row r="308" spans="1:16" ht="51">
      <c r="A308" s="17" t="s">
        <v>148</v>
      </c>
      <c r="B308" s="14" t="s">
        <v>62</v>
      </c>
      <c r="C308" s="14" t="s">
        <v>32</v>
      </c>
      <c r="D308" s="14" t="s">
        <v>35</v>
      </c>
      <c r="E308" s="14" t="s">
        <v>48</v>
      </c>
      <c r="F308" s="35">
        <f>18164863.14+367698.71+5485790.45+333233</f>
        <v>24351585.3</v>
      </c>
      <c r="I308" s="26"/>
      <c r="J308" s="26"/>
      <c r="K308" s="26"/>
      <c r="L308" s="26"/>
      <c r="M308" s="26"/>
      <c r="N308" s="27"/>
      <c r="O308" s="28"/>
      <c r="P308" s="32"/>
    </row>
    <row r="309" spans="1:16" ht="25.5">
      <c r="A309" s="15" t="s">
        <v>459</v>
      </c>
      <c r="B309" s="14" t="s">
        <v>62</v>
      </c>
      <c r="C309" s="14" t="s">
        <v>32</v>
      </c>
      <c r="D309" s="14" t="s">
        <v>35</v>
      </c>
      <c r="E309" s="14" t="s">
        <v>49</v>
      </c>
      <c r="F309" s="35">
        <f>3482048.17+6426910.43+330000-300000+300000+286439+74314-286439-270616.64+42500-63990+74685+118421.64</f>
        <v>10214272.6</v>
      </c>
      <c r="I309" s="26"/>
      <c r="J309" s="26"/>
      <c r="K309" s="26"/>
      <c r="L309" s="26"/>
      <c r="M309" s="26"/>
      <c r="N309" s="27"/>
      <c r="O309" s="28"/>
      <c r="P309" s="32"/>
    </row>
    <row r="310" spans="1:16" ht="25.5">
      <c r="A310" s="15" t="s">
        <v>460</v>
      </c>
      <c r="B310" s="14" t="s">
        <v>62</v>
      </c>
      <c r="C310" s="14" t="s">
        <v>32</v>
      </c>
      <c r="D310" s="14" t="s">
        <v>35</v>
      </c>
      <c r="E310" s="14" t="s">
        <v>51</v>
      </c>
      <c r="F310" s="35">
        <f>12092.16+435403.41</f>
        <v>447495.56999999995</v>
      </c>
      <c r="I310" s="26"/>
      <c r="J310" s="26"/>
      <c r="K310" s="26"/>
      <c r="L310" s="26"/>
      <c r="M310" s="26"/>
      <c r="N310" s="27"/>
      <c r="O310" s="28"/>
      <c r="P310" s="29"/>
    </row>
    <row r="311" spans="1:6" ht="51">
      <c r="A311" s="17" t="s">
        <v>65</v>
      </c>
      <c r="B311" s="14" t="s">
        <v>62</v>
      </c>
      <c r="C311" s="14" t="s">
        <v>32</v>
      </c>
      <c r="D311" s="14" t="s">
        <v>36</v>
      </c>
      <c r="E311" s="14" t="s">
        <v>48</v>
      </c>
      <c r="F311" s="35">
        <f>1181700+356800-57000</f>
        <v>1481500</v>
      </c>
    </row>
    <row r="312" spans="1:6" ht="38.25">
      <c r="A312" s="15" t="s">
        <v>66</v>
      </c>
      <c r="B312" s="14" t="s">
        <v>62</v>
      </c>
      <c r="C312" s="14" t="s">
        <v>32</v>
      </c>
      <c r="D312" s="14" t="s">
        <v>36</v>
      </c>
      <c r="E312" s="14" t="s">
        <v>49</v>
      </c>
      <c r="F312" s="35">
        <f>70629+14840+17670</f>
        <v>103139</v>
      </c>
    </row>
    <row r="313" spans="1:6" ht="25.5">
      <c r="A313" s="15" t="s">
        <v>67</v>
      </c>
      <c r="B313" s="14" t="s">
        <v>62</v>
      </c>
      <c r="C313" s="14" t="s">
        <v>32</v>
      </c>
      <c r="D313" s="14" t="s">
        <v>36</v>
      </c>
      <c r="E313" s="14" t="s">
        <v>51</v>
      </c>
      <c r="F313" s="35">
        <v>10760</v>
      </c>
    </row>
    <row r="314" spans="1:6" ht="51">
      <c r="A314" s="17" t="s">
        <v>69</v>
      </c>
      <c r="B314" s="14" t="s">
        <v>68</v>
      </c>
      <c r="C314" s="14" t="s">
        <v>32</v>
      </c>
      <c r="D314" s="14" t="s">
        <v>33</v>
      </c>
      <c r="E314" s="14" t="s">
        <v>48</v>
      </c>
      <c r="F314" s="35">
        <f>978805+260530</f>
        <v>1239335</v>
      </c>
    </row>
    <row r="315" spans="1:6" ht="45.75" customHeight="1">
      <c r="A315" s="17" t="s">
        <v>23</v>
      </c>
      <c r="B315" s="14" t="s">
        <v>81</v>
      </c>
      <c r="C315" s="14" t="s">
        <v>32</v>
      </c>
      <c r="D315" s="14" t="s">
        <v>36</v>
      </c>
      <c r="E315" s="14" t="s">
        <v>48</v>
      </c>
      <c r="F315" s="35">
        <f>859500+57000</f>
        <v>916500</v>
      </c>
    </row>
    <row r="316" spans="1:6" ht="38.25">
      <c r="A316" s="15" t="s">
        <v>456</v>
      </c>
      <c r="B316" s="14" t="s">
        <v>376</v>
      </c>
      <c r="C316" s="14" t="s">
        <v>32</v>
      </c>
      <c r="D316" s="14" t="s">
        <v>35</v>
      </c>
      <c r="E316" s="14" t="s">
        <v>49</v>
      </c>
      <c r="F316" s="35">
        <v>30700</v>
      </c>
    </row>
    <row r="317" spans="1:6" ht="51">
      <c r="A317" s="17" t="s">
        <v>457</v>
      </c>
      <c r="B317" s="14" t="s">
        <v>377</v>
      </c>
      <c r="C317" s="14" t="s">
        <v>32</v>
      </c>
      <c r="D317" s="14" t="s">
        <v>35</v>
      </c>
      <c r="E317" s="14" t="s">
        <v>48</v>
      </c>
      <c r="F317" s="35">
        <v>86235</v>
      </c>
    </row>
    <row r="318" spans="1:6" ht="38.25">
      <c r="A318" s="15" t="s">
        <v>458</v>
      </c>
      <c r="B318" s="14" t="s">
        <v>377</v>
      </c>
      <c r="C318" s="14" t="s">
        <v>32</v>
      </c>
      <c r="D318" s="14" t="s">
        <v>35</v>
      </c>
      <c r="E318" s="14" t="s">
        <v>49</v>
      </c>
      <c r="F318" s="35">
        <v>7565</v>
      </c>
    </row>
    <row r="319" spans="1:6" ht="51">
      <c r="A319" s="17" t="s">
        <v>148</v>
      </c>
      <c r="B319" s="14" t="s">
        <v>378</v>
      </c>
      <c r="C319" s="14" t="s">
        <v>32</v>
      </c>
      <c r="D319" s="14" t="s">
        <v>35</v>
      </c>
      <c r="E319" s="14" t="s">
        <v>48</v>
      </c>
      <c r="F319" s="38">
        <f>211492+63908</f>
        <v>275400</v>
      </c>
    </row>
    <row r="320" spans="1:6" ht="25.5">
      <c r="A320" s="15" t="s">
        <v>459</v>
      </c>
      <c r="B320" s="14" t="s">
        <v>378</v>
      </c>
      <c r="C320" s="14" t="s">
        <v>32</v>
      </c>
      <c r="D320" s="14" t="s">
        <v>35</v>
      </c>
      <c r="E320" s="14" t="s">
        <v>49</v>
      </c>
      <c r="F320" s="38">
        <f>18551+44849</f>
        <v>63400</v>
      </c>
    </row>
    <row r="321" spans="1:6" ht="76.5">
      <c r="A321" s="17" t="s">
        <v>149</v>
      </c>
      <c r="B321" s="14" t="s">
        <v>379</v>
      </c>
      <c r="C321" s="14" t="s">
        <v>33</v>
      </c>
      <c r="D321" s="14" t="s">
        <v>35</v>
      </c>
      <c r="E321" s="14" t="s">
        <v>48</v>
      </c>
      <c r="F321" s="38">
        <f>1497836.76+11560+452346.7</f>
        <v>1961743.46</v>
      </c>
    </row>
    <row r="322" spans="1:6" ht="63.75">
      <c r="A322" s="17" t="s">
        <v>461</v>
      </c>
      <c r="B322" s="14" t="s">
        <v>379</v>
      </c>
      <c r="C322" s="14" t="s">
        <v>33</v>
      </c>
      <c r="D322" s="14" t="s">
        <v>35</v>
      </c>
      <c r="E322" s="14" t="s">
        <v>49</v>
      </c>
      <c r="F322" s="38">
        <f>221281.22+435415.32</f>
        <v>656696.54</v>
      </c>
    </row>
    <row r="323" spans="1:6" ht="51">
      <c r="A323" s="17" t="s">
        <v>462</v>
      </c>
      <c r="B323" s="14" t="s">
        <v>379</v>
      </c>
      <c r="C323" s="14" t="s">
        <v>33</v>
      </c>
      <c r="D323" s="14" t="s">
        <v>35</v>
      </c>
      <c r="E323" s="14" t="s">
        <v>51</v>
      </c>
      <c r="F323" s="38">
        <v>6160</v>
      </c>
    </row>
    <row r="324" spans="1:6" ht="13.5">
      <c r="A324" s="17" t="s">
        <v>50</v>
      </c>
      <c r="B324" s="14" t="s">
        <v>70</v>
      </c>
      <c r="C324" s="14"/>
      <c r="D324" s="14"/>
      <c r="E324" s="14"/>
      <c r="F324" s="35">
        <f>SUM(F325:F327)</f>
        <v>298188</v>
      </c>
    </row>
    <row r="325" spans="1:6" ht="25.5">
      <c r="A325" s="15" t="s">
        <v>67</v>
      </c>
      <c r="B325" s="14" t="s">
        <v>71</v>
      </c>
      <c r="C325" s="14" t="s">
        <v>32</v>
      </c>
      <c r="D325" s="14" t="s">
        <v>33</v>
      </c>
      <c r="E325" s="14" t="s">
        <v>51</v>
      </c>
      <c r="F325" s="35">
        <v>7000</v>
      </c>
    </row>
    <row r="326" spans="1:6" ht="25.5">
      <c r="A326" s="15" t="s">
        <v>67</v>
      </c>
      <c r="B326" s="14" t="s">
        <v>71</v>
      </c>
      <c r="C326" s="14" t="s">
        <v>32</v>
      </c>
      <c r="D326" s="14" t="s">
        <v>35</v>
      </c>
      <c r="E326" s="14" t="s">
        <v>51</v>
      </c>
      <c r="F326" s="35">
        <v>290188</v>
      </c>
    </row>
    <row r="327" spans="1:6" ht="25.5">
      <c r="A327" s="15" t="s">
        <v>67</v>
      </c>
      <c r="B327" s="14" t="s">
        <v>71</v>
      </c>
      <c r="C327" s="14" t="s">
        <v>32</v>
      </c>
      <c r="D327" s="14" t="s">
        <v>36</v>
      </c>
      <c r="E327" s="14" t="s">
        <v>51</v>
      </c>
      <c r="F327" s="35">
        <v>1000</v>
      </c>
    </row>
  </sheetData>
  <sheetProtection/>
  <mergeCells count="3">
    <mergeCell ref="A3:F3"/>
    <mergeCell ref="A2:F2"/>
    <mergeCell ref="B1:F1"/>
  </mergeCells>
  <printOptions/>
  <pageMargins left="0.8267716535433072" right="0.1968503937007874" top="0.3937007874015748" bottom="0.1968503937007874" header="0.1968503937007874" footer="0.11811023622047245"/>
  <pageSetup fitToHeight="10" horizontalDpi="600" verticalDpi="600" orientation="portrait" paperSize="9" scale="87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2017-10-04T08:19:10Z</cp:lastPrinted>
  <dcterms:created xsi:type="dcterms:W3CDTF">2008-10-16T09:22:50Z</dcterms:created>
  <dcterms:modified xsi:type="dcterms:W3CDTF">2017-11-15T08:37:04Z</dcterms:modified>
  <cp:category/>
  <cp:version/>
  <cp:contentType/>
  <cp:contentStatus/>
</cp:coreProperties>
</file>